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xr:revisionPtr revIDLastSave="0" documentId="8_{F260A352-E883-44E6-9A97-3C207114A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D331" i="1"/>
  <c r="H329" i="1"/>
  <c r="F329" i="1"/>
  <c r="E329" i="1"/>
  <c r="E327" i="1" s="1"/>
  <c r="H328" i="1"/>
  <c r="H327" i="1" s="1"/>
  <c r="F328" i="1"/>
  <c r="F327" i="1" s="1"/>
  <c r="G327" i="1" s="1"/>
  <c r="E328" i="1"/>
  <c r="H326" i="1"/>
  <c r="F326" i="1"/>
  <c r="E326" i="1"/>
  <c r="E324" i="1" s="1"/>
  <c r="H325" i="1"/>
  <c r="F325" i="1"/>
  <c r="F324" i="1" s="1"/>
  <c r="G324" i="1" s="1"/>
  <c r="E325" i="1"/>
  <c r="H324" i="1"/>
  <c r="H323" i="1"/>
  <c r="F323" i="1"/>
  <c r="E323" i="1"/>
  <c r="E321" i="1" s="1"/>
  <c r="E331" i="1" s="1"/>
  <c r="H322" i="1"/>
  <c r="F322" i="1"/>
  <c r="F321" i="1" s="1"/>
  <c r="E322" i="1"/>
  <c r="H321" i="1"/>
  <c r="H331" i="1" s="1"/>
  <c r="D299" i="1"/>
  <c r="I298" i="1"/>
  <c r="G298" i="1"/>
  <c r="H298" i="1" s="1"/>
  <c r="F298" i="1"/>
  <c r="I297" i="1"/>
  <c r="G297" i="1"/>
  <c r="H297" i="1" s="1"/>
  <c r="F297" i="1"/>
  <c r="I296" i="1"/>
  <c r="G296" i="1"/>
  <c r="F296" i="1"/>
  <c r="F294" i="1" s="1"/>
  <c r="I295" i="1"/>
  <c r="G295" i="1"/>
  <c r="G294" i="1" s="1"/>
  <c r="H294" i="1" s="1"/>
  <c r="F295" i="1"/>
  <c r="I294" i="1"/>
  <c r="I293" i="1"/>
  <c r="G293" i="1"/>
  <c r="H293" i="1" s="1"/>
  <c r="F293" i="1"/>
  <c r="I292" i="1"/>
  <c r="H292" i="1"/>
  <c r="H288" i="1" s="1"/>
  <c r="G292" i="1"/>
  <c r="F292" i="1"/>
  <c r="I291" i="1"/>
  <c r="I288" i="1" s="1"/>
  <c r="I299" i="1" s="1"/>
  <c r="G291" i="1"/>
  <c r="H291" i="1" s="1"/>
  <c r="F291" i="1"/>
  <c r="F288" i="1" s="1"/>
  <c r="I290" i="1"/>
  <c r="H290" i="1"/>
  <c r="G290" i="1"/>
  <c r="F290" i="1"/>
  <c r="I289" i="1"/>
  <c r="G289" i="1"/>
  <c r="H289" i="1" s="1"/>
  <c r="F289" i="1"/>
  <c r="G288" i="1"/>
  <c r="E288" i="1"/>
  <c r="E299" i="1" s="1"/>
  <c r="D288" i="1"/>
  <c r="H280" i="1"/>
  <c r="F280" i="1"/>
  <c r="D262" i="1"/>
  <c r="H261" i="1"/>
  <c r="F261" i="1"/>
  <c r="E261" i="1"/>
  <c r="H260" i="1"/>
  <c r="G260" i="1"/>
  <c r="F260" i="1"/>
  <c r="E260" i="1"/>
  <c r="H259" i="1"/>
  <c r="F259" i="1"/>
  <c r="G259" i="1" s="1"/>
  <c r="E259" i="1"/>
  <c r="H258" i="1"/>
  <c r="H262" i="1" s="1"/>
  <c r="G258" i="1"/>
  <c r="F258" i="1"/>
  <c r="F262" i="1" s="1"/>
  <c r="G262" i="1" s="1"/>
  <c r="E258" i="1"/>
  <c r="E262" i="1" s="1"/>
  <c r="D251" i="1"/>
  <c r="E207" i="1"/>
  <c r="D207" i="1"/>
  <c r="G206" i="1"/>
  <c r="H205" i="1"/>
  <c r="G205" i="1"/>
  <c r="F205" i="1"/>
  <c r="E205" i="1"/>
  <c r="H204" i="1"/>
  <c r="H207" i="1" s="1"/>
  <c r="F204" i="1"/>
  <c r="G204" i="1" s="1"/>
  <c r="E204" i="1"/>
  <c r="D184" i="1"/>
  <c r="H182" i="1"/>
  <c r="G182" i="1"/>
  <c r="F182" i="1"/>
  <c r="E182" i="1"/>
  <c r="H181" i="1"/>
  <c r="F181" i="1"/>
  <c r="E181" i="1"/>
  <c r="H180" i="1"/>
  <c r="F180" i="1"/>
  <c r="F178" i="1" s="1"/>
  <c r="G178" i="1" s="1"/>
  <c r="E180" i="1"/>
  <c r="H179" i="1"/>
  <c r="H178" i="1" s="1"/>
  <c r="F179" i="1"/>
  <c r="E179" i="1"/>
  <c r="E178" i="1" s="1"/>
  <c r="H177" i="1"/>
  <c r="G177" i="1"/>
  <c r="F177" i="1"/>
  <c r="E177" i="1"/>
  <c r="H176" i="1"/>
  <c r="F176" i="1"/>
  <c r="E176" i="1"/>
  <c r="H175" i="1"/>
  <c r="H184" i="1" s="1"/>
  <c r="G175" i="1"/>
  <c r="F175" i="1"/>
  <c r="E175" i="1"/>
  <c r="D150" i="1"/>
  <c r="H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H140" i="1"/>
  <c r="G140" i="1"/>
  <c r="G139" i="1" s="1"/>
  <c r="F140" i="1"/>
  <c r="I139" i="1"/>
  <c r="F139" i="1"/>
  <c r="E139" i="1"/>
  <c r="E133" i="1" s="1"/>
  <c r="I138" i="1"/>
  <c r="H138" i="1"/>
  <c r="F138" i="1"/>
  <c r="I137" i="1"/>
  <c r="H137" i="1"/>
  <c r="H134" i="1" s="1"/>
  <c r="F137" i="1"/>
  <c r="I136" i="1"/>
  <c r="H136" i="1"/>
  <c r="F136" i="1"/>
  <c r="I135" i="1"/>
  <c r="H135" i="1"/>
  <c r="G134" i="1"/>
  <c r="G133" i="1" s="1"/>
  <c r="F135" i="1"/>
  <c r="I134" i="1"/>
  <c r="I133" i="1" s="1"/>
  <c r="F134" i="1"/>
  <c r="E134" i="1"/>
  <c r="F133" i="1"/>
  <c r="I132" i="1"/>
  <c r="F132" i="1"/>
  <c r="H131" i="1"/>
  <c r="I130" i="1"/>
  <c r="H130" i="1"/>
  <c r="G130" i="1"/>
  <c r="F130" i="1"/>
  <c r="I129" i="1"/>
  <c r="I128" i="1" s="1"/>
  <c r="G129" i="1"/>
  <c r="H129" i="1" s="1"/>
  <c r="H128" i="1" s="1"/>
  <c r="F129" i="1"/>
  <c r="F128" i="1" s="1"/>
  <c r="F150" i="1" s="1"/>
  <c r="G128" i="1"/>
  <c r="G150" i="1" s="1"/>
  <c r="E128" i="1"/>
  <c r="C126" i="1"/>
  <c r="D107" i="1"/>
  <c r="H106" i="1"/>
  <c r="H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I96" i="1" s="1"/>
  <c r="I95" i="1" s="1"/>
  <c r="G97" i="1"/>
  <c r="H97" i="1" s="1"/>
  <c r="F97" i="1"/>
  <c r="F96" i="1"/>
  <c r="F95" i="1" s="1"/>
  <c r="E96" i="1"/>
  <c r="E95" i="1" s="1"/>
  <c r="E107" i="1" s="1"/>
  <c r="I94" i="1"/>
  <c r="I92" i="1" s="1"/>
  <c r="I107" i="1" s="1"/>
  <c r="H94" i="1"/>
  <c r="G94" i="1"/>
  <c r="F94" i="1"/>
  <c r="I93" i="1"/>
  <c r="G93" i="1"/>
  <c r="H93" i="1" s="1"/>
  <c r="F93" i="1"/>
  <c r="F92" i="1" s="1"/>
  <c r="F107" i="1" s="1"/>
  <c r="G92" i="1"/>
  <c r="C89" i="1"/>
  <c r="H85" i="1"/>
  <c r="F85" i="1"/>
  <c r="D85" i="1"/>
  <c r="G61" i="1"/>
  <c r="G60" i="1"/>
  <c r="H55" i="1"/>
  <c r="F55" i="1"/>
  <c r="G32" i="1" s="1"/>
  <c r="H32" i="1" s="1"/>
  <c r="E55" i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I35" i="1"/>
  <c r="I34" i="1" s="1"/>
  <c r="I26" i="1" s="1"/>
  <c r="G35" i="1"/>
  <c r="H35" i="1" s="1"/>
  <c r="F35" i="1"/>
  <c r="F34" i="1"/>
  <c r="E34" i="1"/>
  <c r="I33" i="1"/>
  <c r="H33" i="1"/>
  <c r="G33" i="1"/>
  <c r="F33" i="1"/>
  <c r="I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H27" i="1" s="1"/>
  <c r="G28" i="1"/>
  <c r="F28" i="1"/>
  <c r="F27" i="1" s="1"/>
  <c r="F26" i="1" s="1"/>
  <c r="I27" i="1"/>
  <c r="E27" i="1"/>
  <c r="E26" i="1" s="1"/>
  <c r="I25" i="1"/>
  <c r="G25" i="1"/>
  <c r="H25" i="1" s="1"/>
  <c r="H23" i="1" s="1"/>
  <c r="F25" i="1"/>
  <c r="I24" i="1"/>
  <c r="I23" i="1" s="1"/>
  <c r="G24" i="1"/>
  <c r="H24" i="1" s="1"/>
  <c r="F24" i="1"/>
  <c r="F23" i="1"/>
  <c r="E23" i="1"/>
  <c r="H16" i="1"/>
  <c r="F16" i="1"/>
  <c r="D16" i="1"/>
  <c r="I44" i="1" l="1"/>
  <c r="G34" i="1"/>
  <c r="G26" i="1" s="1"/>
  <c r="H299" i="1"/>
  <c r="I150" i="1"/>
  <c r="E44" i="1"/>
  <c r="G299" i="1"/>
  <c r="F299" i="1"/>
  <c r="H96" i="1"/>
  <c r="H95" i="1" s="1"/>
  <c r="E184" i="1"/>
  <c r="F44" i="1"/>
  <c r="F184" i="1"/>
  <c r="G184" i="1" s="1"/>
  <c r="G321" i="1"/>
  <c r="G331" i="1" s="1"/>
  <c r="F331" i="1"/>
  <c r="G27" i="1"/>
  <c r="H92" i="1"/>
  <c r="E150" i="1"/>
  <c r="H139" i="1"/>
  <c r="H133" i="1" s="1"/>
  <c r="H150" i="1" s="1"/>
  <c r="G96" i="1"/>
  <c r="G95" i="1" s="1"/>
  <c r="G107" i="1" s="1"/>
  <c r="F207" i="1"/>
  <c r="G207" i="1" s="1"/>
  <c r="G23" i="1"/>
  <c r="G55" i="1"/>
  <c r="H34" i="1" l="1"/>
  <c r="H26" i="1" s="1"/>
  <c r="H44" i="1" s="1"/>
  <c r="G44" i="1"/>
  <c r="H107" i="1"/>
</calcChain>
</file>

<file path=xl/sharedStrings.xml><?xml version="1.0" encoding="utf-8"?>
<sst xmlns="http://schemas.openxmlformats.org/spreadsheetml/2006/main" count="328" uniqueCount="146">
  <si>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</si>
  <si>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</si>
  <si>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</si>
  <si>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</si>
  <si>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</si>
  <si>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</si>
  <si>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</si>
  <si>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</si>
  <si>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</si>
  <si>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</si>
  <si>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</si>
  <si>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</si>
  <si>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</si>
  <si>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</si>
  <si>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</si>
  <si>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</si>
  <si>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</si>
  <si>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</si>
  <si>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</si>
  <si>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</si>
  <si>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</si>
  <si>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</si>
  <si>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</si>
  <si>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</si>
  <si>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</si>
  <si>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</si>
  <si>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</si>
  <si>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</si>
  <si>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</si>
  <si>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</si>
  <si>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</si>
  <si>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</si>
  <si>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</si>
  <si>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</si>
  <si>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</si>
  <si>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</si>
  <si>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</si>
  <si>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</si>
  <si>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</si>
  <si>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</si>
  <si>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</si>
  <si>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</si>
  <si>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</si>
  <si>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</si>
  <si>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</si>
  <si>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</si>
  <si>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</si>
  <si>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</si>
  <si>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</si>
  <si>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</si>
  <si>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</si>
  <si>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</si>
  <si>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</si>
  <si>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</si>
  <si>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</si>
  <si>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</si>
  <si>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</si>
  <si>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</si>
  <si>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</si>
  <si>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</si>
  <si>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</si>
  <si>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</si>
  <si>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</si>
  <si>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</si>
  <si>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</si>
  <si>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</si>
  <si>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</si>
  <si>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</si>
  <si>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</si>
  <si>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</si>
  <si>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</si>
  <si>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</si>
  <si>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</si>
  <si>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</si>
  <si>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</si>
  <si>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</si>
  <si>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</si>
  <si>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</si>
  <si>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</si>
  <si>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</si>
  <si>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</si>
  <si>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</si>
  <si>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</si>
  <si>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</si>
  <si>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</si>
  <si>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</si>
  <si>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</si>
  <si>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</si>
  <si>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</si>
  <si>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</si>
  <si>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</si>
  <si>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</si>
  <si>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</si>
  <si>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</si>
  <si>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</si>
  <si>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</si>
  <si>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</si>
  <si>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</si>
  <si>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</si>
  <si>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</si>
  <si>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</si>
  <si>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</si>
  <si>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</si>
  <si>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</si>
  <si>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</si>
  <si>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</si>
  <si>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</si>
  <si>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</si>
  <si>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</si>
  <si>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</si>
  <si>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</si>
  <si>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</si>
  <si>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</si>
  <si>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</si>
  <si>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</si>
  <si>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</si>
  <si>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</si>
  <si>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</si>
  <si>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</si>
  <si>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</si>
  <si>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</si>
  <si>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</si>
  <si>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</si>
  <si>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</si>
  <si>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</si>
  <si>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</si>
  <si>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</si>
  <si>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</si>
  <si>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</si>
  <si>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</si>
  <si>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</si>
  <si>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</si>
  <si>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</si>
  <si>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</si>
  <si>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</si>
  <si>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</si>
  <si>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</si>
  <si>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</si>
  <si>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t>FANGST UKE 12</t>
  </si>
  <si>
    <t>FANGST T.O.M UKE 12</t>
  </si>
  <si>
    <t>RESTKVOTER UKE 12</t>
  </si>
  <si>
    <t>FANGST T.O.M UKE 12 2022</t>
  </si>
  <si>
    <r>
      <t xml:space="preserve">3 </t>
    </r>
    <r>
      <rPr>
        <sz val="9"/>
        <color indexed="8"/>
        <rFont val="Calibri"/>
        <family val="2"/>
      </rPr>
      <t>Registrert rekreasjonsfiske utgjør 263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</si>
  <si>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20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</si>
  <si>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668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</si>
  <si>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97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</si>
</sst>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85" zoomScaleNormal="85" zoomScaleSheetLayoutView="100" zoomScalePageLayoutView="85" workbookViewId="0">
      <selection activeCell="E17" sqref="E17"/>
    </sheetView>
  </sheetViews>
  <sheetFormatPr baseColWidth="10"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137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77193</v>
      </c>
      <c r="G12" s="117" t="s">
        <v>5</v>
      </c>
      <c r="H12" s="116">
        <v>21013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164035</v>
      </c>
      <c r="G13" s="117" t="s">
        <v>8</v>
      </c>
      <c r="H13" s="119">
        <v>117222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14760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260782</v>
      </c>
      <c r="G16" s="180" t="s">
        <v>7</v>
      </c>
      <c r="H16" s="192">
        <f>SUM(H12:H15)</f>
        <v>164035</v>
      </c>
      <c r="J16" s="242"/>
    </row>
    <row r="17" spans="1:10" ht="15" customHeight="1" x14ac:dyDescent="0.25">
      <c r="A17" s="101"/>
      <c r="B17" s="24"/>
      <c r="C17" s="101"/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138</v>
      </c>
      <c r="G22" s="68" t="s">
        <v>139</v>
      </c>
      <c r="H22" s="68" t="s">
        <v>140</v>
      </c>
      <c r="I22" s="68" t="s">
        <v>141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77193</v>
      </c>
      <c r="E23" s="28">
        <f t="shared" ref="E23:I23" si="0">E25+E24</f>
        <v>84053</v>
      </c>
      <c r="F23" s="28">
        <f t="shared" si="0"/>
        <v>1071.2058</v>
      </c>
      <c r="G23" s="28">
        <f t="shared" si="0"/>
        <v>26797.514210000001</v>
      </c>
      <c r="H23" s="11">
        <f t="shared" si="0"/>
        <v>57255.485789999999</v>
      </c>
      <c r="I23" s="11">
        <f t="shared" si="0"/>
        <v>36746.454890000001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76443</v>
      </c>
      <c r="E24" s="48">
        <v>83271</v>
      </c>
      <c r="F24" s="23">
        <f>1023.7488</f>
        <v>1023.7488</v>
      </c>
      <c r="G24" s="23">
        <f>26693.25821</f>
        <v>26693.25821</v>
      </c>
      <c r="H24" s="23">
        <f>E24-G24</f>
        <v>56577.74179</v>
      </c>
      <c r="I24" s="23">
        <f>36697.00911</f>
        <v>36697.009109999999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47.457</f>
        <v>47.457000000000001</v>
      </c>
      <c r="G25" s="23">
        <f>104.256</f>
        <v>104.256</v>
      </c>
      <c r="H25" s="23">
        <f>E25-G25</f>
        <v>677.74400000000003</v>
      </c>
      <c r="I25" s="23">
        <f>49.44578</f>
        <v>49.445779999999999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169338</v>
      </c>
      <c r="E26" s="28">
        <f t="shared" ref="E26:I26" si="1">E34+E33+E27</f>
        <v>191675</v>
      </c>
      <c r="F26" s="28">
        <f t="shared" si="1"/>
        <v>19625.305379999998</v>
      </c>
      <c r="G26" s="11">
        <f t="shared" si="1"/>
        <v>94268.519870000004</v>
      </c>
      <c r="H26" s="11">
        <f t="shared" si="1"/>
        <v>97406.480129999996</v>
      </c>
      <c r="I26" s="11">
        <f t="shared" si="1"/>
        <v>117266.14100999999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132365</v>
      </c>
      <c r="E27" s="60">
        <f t="shared" ref="E27:I27" si="2">E28+E29+E30+E31+E32</f>
        <v>148041</v>
      </c>
      <c r="F27" s="134">
        <f>F28+F29+F30+F31+F32</f>
        <v>16656.777419999999</v>
      </c>
      <c r="G27" s="134">
        <f t="shared" si="2"/>
        <v>77338.469830000002</v>
      </c>
      <c r="H27" s="134">
        <f t="shared" si="2"/>
        <v>70702.530169999998</v>
      </c>
      <c r="I27" s="134">
        <f t="shared" si="2"/>
        <v>100336.18435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31737</v>
      </c>
      <c r="E28" s="65">
        <v>38361</v>
      </c>
      <c r="F28" s="205">
        <f>5205.26326</f>
        <v>5205.2632599999997</v>
      </c>
      <c r="G28" s="129">
        <f>19903.87637 - F57</f>
        <v>19903.876370000002</v>
      </c>
      <c r="H28" s="129">
        <f t="shared" ref="H28:H40" si="3">E28-G28</f>
        <v>18457.123629999998</v>
      </c>
      <c r="I28" s="129">
        <f>24060.09664 - H57</f>
        <v>24060.09664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35412</v>
      </c>
      <c r="E29" s="65">
        <v>39519</v>
      </c>
      <c r="F29" s="129">
        <f>5362.78101</f>
        <v>5362.7810099999997</v>
      </c>
      <c r="G29" s="129">
        <f>23477.26349 - F58</f>
        <v>23477.263490000001</v>
      </c>
      <c r="H29" s="129">
        <f t="shared" si="3"/>
        <v>16041.736509999999</v>
      </c>
      <c r="I29" s="129">
        <f>31706.4659 - H58</f>
        <v>31706.465899999999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32013</v>
      </c>
      <c r="E30" s="65">
        <v>36008</v>
      </c>
      <c r="F30" s="129">
        <f>3932.83794</f>
        <v>3932.8379399999999</v>
      </c>
      <c r="G30" s="129">
        <f>18825.3475 - F59</f>
        <v>18825.3475</v>
      </c>
      <c r="H30" s="129">
        <f t="shared" si="3"/>
        <v>17182.6525</v>
      </c>
      <c r="I30" s="129">
        <f>24632.31486 - H59</f>
        <v>24632.314859999999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23363</v>
      </c>
      <c r="E31" s="65">
        <v>24489</v>
      </c>
      <c r="F31" s="129">
        <f>2155.89521</f>
        <v>2155.8952100000001</v>
      </c>
      <c r="G31" s="129">
        <f>15131.98247 - F60</f>
        <v>15131.982470000001</v>
      </c>
      <c r="H31" s="129">
        <f t="shared" si="3"/>
        <v>9357.0175299999992</v>
      </c>
      <c r="I31" s="129">
        <f>19937.30695 - H60</f>
        <v>19937.306949999998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21013</v>
      </c>
      <c r="E33" s="60">
        <v>22831</v>
      </c>
      <c r="F33" s="134">
        <f>143.41012</f>
        <v>143.41012000000001</v>
      </c>
      <c r="G33" s="134">
        <f>7498.76545</f>
        <v>7498.7654499999999</v>
      </c>
      <c r="H33" s="134">
        <f t="shared" si="3"/>
        <v>15332.234550000001</v>
      </c>
      <c r="I33" s="134">
        <f>9064.33984</f>
        <v>9064.3398400000005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15960</v>
      </c>
      <c r="E34" s="60">
        <f>E35+E36</f>
        <v>20803</v>
      </c>
      <c r="F34" s="134">
        <f>F35+F36</f>
        <v>2825.1178399999999</v>
      </c>
      <c r="G34" s="134">
        <f>G35+G36</f>
        <v>9431.2845899999993</v>
      </c>
      <c r="H34" s="134">
        <f t="shared" si="3"/>
        <v>11371.715410000001</v>
      </c>
      <c r="I34" s="134">
        <f>I35+I36</f>
        <v>7865.6168199999993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14760</v>
      </c>
      <c r="E35" s="65">
        <v>19603</v>
      </c>
      <c r="F35" s="129">
        <f>2825.11784</f>
        <v>2825.1178399999999</v>
      </c>
      <c r="G35" s="134">
        <f>9916.28459 - F61 - F62</f>
        <v>9431.2845899999993</v>
      </c>
      <c r="H35" s="129">
        <f t="shared" si="3"/>
        <v>10171.715410000001</v>
      </c>
      <c r="I35" s="129">
        <f>8237.61682 - H61 - H62</f>
        <v>7865.6168199999993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22.167</f>
        <v>22.167000000000002</v>
      </c>
      <c r="G37" s="141">
        <f>26.2518</f>
        <v>26.251799999999999</v>
      </c>
      <c r="H37" s="141">
        <f t="shared" si="3"/>
        <v>2973.7482</v>
      </c>
      <c r="I37" s="141">
        <f>147.86715</f>
        <v>147.86715000000001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84.20705</f>
        <v>84.207049999999995</v>
      </c>
      <c r="G38" s="100">
        <f>255.01828</f>
        <v>255.01828</v>
      </c>
      <c r="H38" s="100">
        <f t="shared" si="3"/>
        <v>595.98172</v>
      </c>
      <c r="I38" s="100">
        <f>277.75471</f>
        <v>277.75470999999999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133</v>
      </c>
      <c r="G39" s="100">
        <f>F61</f>
        <v>485</v>
      </c>
      <c r="H39" s="100">
        <f t="shared" si="3"/>
        <v>2563</v>
      </c>
      <c r="I39" s="100">
        <f>H61</f>
        <v>372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54.7032</f>
        <v>54.703200000000002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260782</v>
      </c>
      <c r="E44" s="78">
        <f t="shared" si="4"/>
        <v>290027</v>
      </c>
      <c r="F44" s="78">
        <f t="shared" si="4"/>
        <v>20990.59143</v>
      </c>
      <c r="G44" s="78">
        <f t="shared" si="4"/>
        <v>128911.86516000004</v>
      </c>
      <c r="H44" s="78">
        <f t="shared" si="4"/>
        <v>161115.13483999998</v>
      </c>
      <c r="I44" s="78">
        <f t="shared" si="4"/>
        <v>161931.15618999998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142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138</v>
      </c>
      <c r="F54" s="68" t="s">
        <v>139</v>
      </c>
      <c r="G54" s="68" t="s">
        <v>140</v>
      </c>
      <c r="H54" s="68" t="s">
        <v>141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0</v>
      </c>
      <c r="F55" s="11">
        <f>F59+F58+F57+F56</f>
        <v>0</v>
      </c>
      <c r="G55" s="299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/>
      <c r="F56" s="129"/>
      <c r="G56" s="300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/>
      <c r="F57" s="129"/>
      <c r="G57" s="300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/>
      <c r="F58" s="129"/>
      <c r="G58" s="300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/>
      <c r="F59" s="194"/>
      <c r="G59" s="301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/>
      <c r="F60" s="97"/>
      <c r="G60" s="97">
        <f>D60-F60</f>
        <v>1200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133</v>
      </c>
      <c r="F61" s="141">
        <v>485</v>
      </c>
      <c r="G61" s="141">
        <f>D61-F61</f>
        <v>2515</v>
      </c>
      <c r="H61" s="141">
        <v>372</v>
      </c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31131</v>
      </c>
      <c r="G82" s="193" t="s">
        <v>5</v>
      </c>
      <c r="H82" s="116">
        <v>9143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50792</v>
      </c>
      <c r="G83" s="193" t="s">
        <v>8</v>
      </c>
      <c r="H83" s="119">
        <v>37586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4063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84177</v>
      </c>
      <c r="G85" s="180" t="s">
        <v>7</v>
      </c>
      <c r="H85" s="192">
        <f>SUM(H82:H84)</f>
        <v>50792</v>
      </c>
      <c r="I85" s="181"/>
      <c r="J85" s="242"/>
    </row>
    <row r="86" spans="1:10" ht="14.25" customHeight="1" x14ac:dyDescent="0.25">
      <c r="A86" s="1"/>
      <c r="B86" s="252"/>
      <c r="C86" s="101"/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138</v>
      </c>
      <c r="G91" s="15" t="s">
        <v>139</v>
      </c>
      <c r="H91" s="15" t="s">
        <v>140</v>
      </c>
      <c r="I91" s="15" t="s">
        <v>141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33472</v>
      </c>
      <c r="E92" s="28">
        <v>36235</v>
      </c>
      <c r="F92" s="11">
        <f t="shared" ref="F92:I92" si="5">F94+F93</f>
        <v>3751.4433600000002</v>
      </c>
      <c r="G92" s="11">
        <f t="shared" si="5"/>
        <v>13389.921209999999</v>
      </c>
      <c r="H92" s="11">
        <f t="shared" si="5"/>
        <v>22845.07879</v>
      </c>
      <c r="I92" s="11">
        <f t="shared" si="5"/>
        <v>22061.517489999998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32722</v>
      </c>
      <c r="E93" s="48">
        <v>35423</v>
      </c>
      <c r="F93" s="23">
        <f>3651.09416</f>
        <v>3651.0941600000001</v>
      </c>
      <c r="G93" s="23">
        <f>13231.73801</f>
        <v>13231.738009999999</v>
      </c>
      <c r="H93" s="23">
        <f>E93-G93</f>
        <v>22191.261989999999</v>
      </c>
      <c r="I93" s="23">
        <f>22013.2758</f>
        <v>22013.275799999999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100.3492</f>
        <v>100.3492</v>
      </c>
      <c r="G94" s="52">
        <f>158.1832</f>
        <v>158.1832</v>
      </c>
      <c r="H94" s="52">
        <f>E94-G94</f>
        <v>653.81680000000006</v>
      </c>
      <c r="I94" s="52">
        <f>48.24169</f>
        <v>48.241689999999998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v>56489</v>
      </c>
      <c r="E95" s="28">
        <f t="shared" ref="E95:I95" si="6">E96+E101+E102</f>
        <v>62139</v>
      </c>
      <c r="F95" s="11">
        <f t="shared" si="6"/>
        <v>1164.26845</v>
      </c>
      <c r="G95" s="11">
        <f t="shared" si="6"/>
        <v>10255.240440000001</v>
      </c>
      <c r="H95" s="11">
        <f t="shared" si="6"/>
        <v>51883.759560000006</v>
      </c>
      <c r="I95" s="11">
        <f t="shared" si="6"/>
        <v>13003.15409</v>
      </c>
      <c r="J95" s="242"/>
    </row>
    <row r="96" spans="1:10" ht="14.1" customHeight="1" x14ac:dyDescent="0.25">
      <c r="A96" s="1"/>
      <c r="B96" s="55"/>
      <c r="C96" s="59" t="s">
        <v>23</v>
      </c>
      <c r="D96" s="60">
        <v>42290</v>
      </c>
      <c r="E96" s="60">
        <f t="shared" ref="E96:I96" si="7">E97+E98+E99+E100</f>
        <v>46520</v>
      </c>
      <c r="F96" s="134">
        <f t="shared" si="7"/>
        <v>1080.12607</v>
      </c>
      <c r="G96" s="134">
        <f t="shared" si="7"/>
        <v>6400.8448600000002</v>
      </c>
      <c r="H96" s="134">
        <f t="shared" si="7"/>
        <v>40119.155140000003</v>
      </c>
      <c r="I96" s="134">
        <f t="shared" si="7"/>
        <v>8865.5976900000005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11327</v>
      </c>
      <c r="E97" s="65">
        <v>12460</v>
      </c>
      <c r="F97" s="129">
        <f>119.66743</f>
        <v>119.66743</v>
      </c>
      <c r="G97" s="129">
        <f>1386.57399</f>
        <v>1386.5739900000001</v>
      </c>
      <c r="H97" s="129">
        <f t="shared" ref="H97:H104" si="8">E97-G97</f>
        <v>11073.426009999999</v>
      </c>
      <c r="I97" s="129">
        <f>1651.99292</f>
        <v>1651.9929199999999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12171</v>
      </c>
      <c r="E98" s="65">
        <v>13388</v>
      </c>
      <c r="F98" s="129">
        <f>276.83607</f>
        <v>276.83607000000001</v>
      </c>
      <c r="G98" s="129">
        <f>1913.69687</f>
        <v>1913.69687</v>
      </c>
      <c r="H98" s="129">
        <f t="shared" si="8"/>
        <v>11474.30313</v>
      </c>
      <c r="I98" s="129">
        <f>2987.55089</f>
        <v>2987.55089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11356</v>
      </c>
      <c r="E99" s="65">
        <v>12492</v>
      </c>
      <c r="F99" s="129">
        <f>156.89762</f>
        <v>156.89761999999999</v>
      </c>
      <c r="G99" s="129">
        <f>1379.66146</f>
        <v>1379.66146</v>
      </c>
      <c r="H99" s="129">
        <f t="shared" si="8"/>
        <v>11112.338540000001</v>
      </c>
      <c r="I99" s="129">
        <f>2772.87292</f>
        <v>2772.8729199999998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7436</v>
      </c>
      <c r="E100" s="65">
        <v>8180</v>
      </c>
      <c r="F100" s="129">
        <f>526.72495</f>
        <v>526.72495000000004</v>
      </c>
      <c r="G100" s="129">
        <f>1720.91254</f>
        <v>1720.91254</v>
      </c>
      <c r="H100" s="129">
        <f t="shared" si="8"/>
        <v>6459.0874599999997</v>
      </c>
      <c r="I100" s="129">
        <f>1453.18096</f>
        <v>1453.1809599999999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9830</v>
      </c>
      <c r="E101" s="60">
        <v>10813</v>
      </c>
      <c r="F101" s="134">
        <f>16.69818</f>
        <v>16.698180000000001</v>
      </c>
      <c r="G101" s="134">
        <f>3082.98115</f>
        <v>3082.9811500000001</v>
      </c>
      <c r="H101" s="134">
        <f t="shared" si="8"/>
        <v>7730.0188500000004</v>
      </c>
      <c r="I101" s="134">
        <f>3595.70595</f>
        <v>3595.70595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4369</v>
      </c>
      <c r="E102" s="63">
        <v>4806</v>
      </c>
      <c r="F102" s="77">
        <f>67.4442</f>
        <v>67.444199999999995</v>
      </c>
      <c r="G102" s="77">
        <f>771.41443</f>
        <v>771.41443000000004</v>
      </c>
      <c r="H102" s="77">
        <f t="shared" si="8"/>
        <v>4034.5855700000002</v>
      </c>
      <c r="I102" s="77">
        <f>541.85045</f>
        <v>541.85045000000002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390</v>
      </c>
      <c r="E103" s="92">
        <v>390</v>
      </c>
      <c r="F103" s="100">
        <f>0.37176</f>
        <v>0.37175999999999998</v>
      </c>
      <c r="G103" s="100">
        <f>5.97238</f>
        <v>5.9723800000000002</v>
      </c>
      <c r="H103" s="100">
        <f t="shared" si="8"/>
        <v>384.02762000000001</v>
      </c>
      <c r="I103" s="100">
        <f>21.11542</f>
        <v>21.11542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5.16176</f>
        <v>5.1617600000000001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90701</v>
      </c>
      <c r="E107" s="78">
        <f t="shared" ref="E107:I107" si="9">E92+E95+E103+E104+E105+E106</f>
        <v>99114</v>
      </c>
      <c r="F107" s="78">
        <f t="shared" si="9"/>
        <v>4921.2453300000006</v>
      </c>
      <c r="G107" s="78">
        <f t="shared" si="9"/>
        <v>23959.901829999988</v>
      </c>
      <c r="H107" s="78">
        <f t="shared" si="9"/>
        <v>75154.098170000012</v>
      </c>
      <c r="I107" s="78">
        <f t="shared" si="9"/>
        <v>35429.521779999995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143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138</v>
      </c>
      <c r="G127" s="15" t="s">
        <v>139</v>
      </c>
      <c r="H127" s="15" t="s">
        <v>140</v>
      </c>
      <c r="I127" s="15" t="s">
        <v>141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385.99739999999997</v>
      </c>
      <c r="G128" s="11">
        <f t="shared" si="10"/>
        <v>23382.324959999998</v>
      </c>
      <c r="H128" s="11">
        <f t="shared" si="10"/>
        <v>47158.675040000002</v>
      </c>
      <c r="I128" s="11">
        <f t="shared" si="10"/>
        <v>18386.701700000001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251.2215</f>
        <v>251.22149999999999</v>
      </c>
      <c r="G129" s="23">
        <f>20221.96348</f>
        <v>20221.963479999999</v>
      </c>
      <c r="H129" s="23">
        <f>E129-G129</f>
        <v>35870.036520000001</v>
      </c>
      <c r="I129" s="23">
        <f>14495.80782</f>
        <v>14495.80782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134.7759</f>
        <v>134.77590000000001</v>
      </c>
      <c r="G130" s="23">
        <f>3160.36148</f>
        <v>3160.36148</v>
      </c>
      <c r="H130" s="23">
        <f>E130-G130</f>
        <v>10788.63852</v>
      </c>
      <c r="I130" s="23">
        <f>3890.89388</f>
        <v>3890.8938800000001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0</f>
        <v>0</v>
      </c>
      <c r="G132" s="97">
        <f>13.04995 + 668.49894</f>
        <v>681.54888999999991</v>
      </c>
      <c r="H132" s="97">
        <f>E132-G132</f>
        <v>48490.451110000002</v>
      </c>
      <c r="I132" s="97">
        <f>40.023</f>
        <v>40.023000000000003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1933.9562600000002</v>
      </c>
      <c r="G133" s="96">
        <f t="shared" ref="G133" si="11">G134+G139+G142</f>
        <v>31473.51539</v>
      </c>
      <c r="H133" s="96">
        <f>H134+H139+H142</f>
        <v>49466.48461</v>
      </c>
      <c r="I133" s="96">
        <f>I134+I139+I142</f>
        <v>28530.767349999998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1777.9337</v>
      </c>
      <c r="G134" s="127">
        <f>G135+G136+G138+G137</f>
        <v>26621.23762</v>
      </c>
      <c r="H134" s="127">
        <f>H135+H136+H137+H138</f>
        <v>32882.76238</v>
      </c>
      <c r="I134" s="127">
        <f>I135+I136+I137+I138</f>
        <v>22935.85802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109.60453</f>
        <v>109.60453</v>
      </c>
      <c r="G135" s="129">
        <v>4109.5979799999996</v>
      </c>
      <c r="H135" s="129">
        <f>E135-G135</f>
        <v>13394.402020000001</v>
      </c>
      <c r="I135" s="129">
        <f>3057.81045</f>
        <v>3057.8104499999999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359.16607</f>
        <v>359.16606999999999</v>
      </c>
      <c r="G136" s="129">
        <v>8198.1050099999993</v>
      </c>
      <c r="H136" s="129">
        <f>E136-G136</f>
        <v>6885.8949900000007</v>
      </c>
      <c r="I136" s="129">
        <f>6983.41657</f>
        <v>6983.4165700000003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506.29167</f>
        <v>506.29167000000001</v>
      </c>
      <c r="G137" s="129">
        <v>6600.1190400000005</v>
      </c>
      <c r="H137" s="129">
        <f>E137-G137</f>
        <v>8422.8809599999986</v>
      </c>
      <c r="I137" s="129">
        <f>6521.81286</f>
        <v>6521.81286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802.87143</f>
        <v>802.87143000000003</v>
      </c>
      <c r="G138" s="129">
        <v>7713.4155900000005</v>
      </c>
      <c r="H138" s="129">
        <f>E138-G138</f>
        <v>4179.5844099999995</v>
      </c>
      <c r="I138" s="129">
        <f>6372.81814</f>
        <v>6372.8181400000003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27.21415</v>
      </c>
      <c r="G139" s="134">
        <f>SUM(G140:G141)</f>
        <v>3201.1854600000001</v>
      </c>
      <c r="H139" s="134">
        <f>H140+H141</f>
        <v>6230.8145399999994</v>
      </c>
      <c r="I139" s="134">
        <f>SUM(I140:I141)</f>
        <v>4252.4625700000006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21.7105</f>
        <v>21.7105</v>
      </c>
      <c r="G140" s="129">
        <f>3011.90592</f>
        <v>3011.9059200000002</v>
      </c>
      <c r="H140" s="129">
        <f t="shared" ref="H140:H147" si="12">E140-G140</f>
        <v>5920.0940799999998</v>
      </c>
      <c r="I140" s="129">
        <f>4184.29477</f>
        <v>4184.2947700000004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5.50365</f>
        <v>5.5036500000000004</v>
      </c>
      <c r="G141" s="129">
        <f>189.27954</f>
        <v>189.27954</v>
      </c>
      <c r="H141" s="129">
        <f t="shared" si="12"/>
        <v>310.72046</v>
      </c>
      <c r="I141" s="129">
        <f>68.1678</f>
        <v>68.1678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128.80841</f>
        <v>128.80841000000001</v>
      </c>
      <c r="G142" s="77">
        <f>1651.09231</f>
        <v>1651.09231</v>
      </c>
      <c r="H142" s="77">
        <f t="shared" si="12"/>
        <v>10352.90769</v>
      </c>
      <c r="I142" s="77">
        <f>1342.44676</f>
        <v>1342.44676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3.82455</f>
        <v>3.8245499999999999</v>
      </c>
      <c r="G143" s="141">
        <f>8.84101</f>
        <v>8.8410100000000007</v>
      </c>
      <c r="H143" s="141">
        <f t="shared" si="12"/>
        <v>128.15898999999999</v>
      </c>
      <c r="I143" s="141">
        <f>19.76954</f>
        <v>19.769539999999999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0</f>
        <v>0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17.37562</f>
        <v>17.375620000000001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2341.1538299999997</v>
      </c>
      <c r="G150" s="78">
        <f>G128+G132+G133+G143+G144+G145+G146+G147+G148</f>
        <v>57546.230249999993</v>
      </c>
      <c r="H150" s="78">
        <f>H128+H132+H133+H143+H144+H145+H146+H147+H148</f>
        <v>145688.76975000001</v>
      </c>
      <c r="I150" s="78">
        <f>I128+I132+I133+I143+I144+I145+I146+I147+I148</f>
        <v>48977.261590000002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144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145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138</v>
      </c>
      <c r="F174" s="15" t="s">
        <v>139</v>
      </c>
      <c r="G174" s="56" t="s">
        <v>140</v>
      </c>
      <c r="H174" s="15" t="s">
        <v>141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39.27548</f>
        <v>39.275480000000002</v>
      </c>
      <c r="F175" s="274">
        <f>332.22684</f>
        <v>332.22683999999998</v>
      </c>
      <c r="G175" s="45">
        <f>D175-F175-F176</f>
        <v>4486.0300200000001</v>
      </c>
      <c r="H175" s="274">
        <f>269.30194</f>
        <v>269.30194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169.74314</f>
        <v>169.74314000000001</v>
      </c>
      <c r="G176" s="215"/>
      <c r="H176" s="154">
        <f>335.57409</f>
        <v>335.57409000000001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19.02122</f>
        <v>19.02122</v>
      </c>
      <c r="G177" s="174">
        <f>D177-F177</f>
        <v>180.97878</v>
      </c>
      <c r="H177" s="174">
        <f>12.36262</f>
        <v>12.36262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3.27332</v>
      </c>
      <c r="F178" s="183">
        <f>F179+F180+F181</f>
        <v>10.02838</v>
      </c>
      <c r="G178" s="183">
        <f>D178-F178</f>
        <v>7470.9716200000003</v>
      </c>
      <c r="H178" s="183">
        <f>H179+H180+H181</f>
        <v>17.999319999999997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0.369</f>
        <v>0.36899999999999999</v>
      </c>
      <c r="F179" s="129">
        <f>3.2416</f>
        <v>3.2416</v>
      </c>
      <c r="G179" s="129"/>
      <c r="H179" s="129">
        <f>1.19784</f>
        <v>1.19784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2.90432</f>
        <v>2.9043199999999998</v>
      </c>
      <c r="F180" s="129">
        <f>5.72522</f>
        <v>5.7252200000000002</v>
      </c>
      <c r="G180" s="129"/>
      <c r="H180" s="129">
        <f>12.54835</f>
        <v>12.548349999999999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</f>
        <v>0</v>
      </c>
      <c r="F181" s="194">
        <f>1.06156</f>
        <v>1.0615600000000001</v>
      </c>
      <c r="G181" s="194"/>
      <c r="H181" s="194">
        <f>4.25313</f>
        <v>4.2531299999999996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42.5488</v>
      </c>
      <c r="F184" s="196">
        <f>F175+F176+F177+F178+F182+F183</f>
        <v>531.01957999999991</v>
      </c>
      <c r="G184" s="196">
        <f>D184-F184</f>
        <v>12203.98042</v>
      </c>
      <c r="H184" s="196">
        <f>H175+H176+H177+H178+H182+H183</f>
        <v>635.23797000000002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138</v>
      </c>
      <c r="F203" s="68" t="s">
        <v>139</v>
      </c>
      <c r="G203" s="68" t="s">
        <v>140</v>
      </c>
      <c r="H203" s="68" t="s">
        <v>141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225.58272</f>
        <v>225.58271999999999</v>
      </c>
      <c r="F204" s="124">
        <f>6188.80198</f>
        <v>6188.8019800000002</v>
      </c>
      <c r="G204" s="124">
        <f>D204-F204</f>
        <v>37650.198019999996</v>
      </c>
      <c r="H204" s="124">
        <f>3963.52752</f>
        <v>3963.5275200000001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0.155</f>
        <v>0.155</v>
      </c>
      <c r="F205" s="124">
        <f>1.01501</f>
        <v>1.01501</v>
      </c>
      <c r="G205" s="124">
        <f>D205-F205</f>
        <v>98.984989999999996</v>
      </c>
      <c r="H205" s="124">
        <f>9.54076</f>
        <v>9.5407600000000006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225.73772</v>
      </c>
      <c r="F207" s="190">
        <f>SUM(F204:F206)</f>
        <v>6189.8169900000003</v>
      </c>
      <c r="G207" s="190">
        <f>D207-F207</f>
        <v>37791.183010000001</v>
      </c>
      <c r="H207" s="190">
        <f>SUM(H204:H206)</f>
        <v>3973.06828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138</v>
      </c>
      <c r="F257" s="68" t="s">
        <v>139</v>
      </c>
      <c r="G257" s="68" t="s">
        <v>140</v>
      </c>
      <c r="H257" s="68" t="s">
        <v>141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6.16904</f>
        <v>6.1690399999999999</v>
      </c>
      <c r="F258" s="124">
        <f>81.82029</f>
        <v>81.82029</v>
      </c>
      <c r="G258" s="124">
        <f>D258-F258</f>
        <v>718.17971</v>
      </c>
      <c r="H258" s="124">
        <f>41.7586</f>
        <v>41.758600000000001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21.65414</f>
        <v>21.654140000000002</v>
      </c>
      <c r="F259" s="124">
        <f>391.53424</f>
        <v>391.53424000000001</v>
      </c>
      <c r="G259" s="124">
        <f>D259-F259</f>
        <v>2102.46576</v>
      </c>
      <c r="H259" s="124">
        <f>194.88026</f>
        <v>194.88025999999999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</f>
        <v>0</v>
      </c>
      <c r="F260" s="168">
        <f>0.09004</f>
        <v>9.0039999999999995E-2</v>
      </c>
      <c r="G260" s="124">
        <f>D260-F260</f>
        <v>4.9099599999999999</v>
      </c>
      <c r="H260" s="168">
        <f>0.357</f>
        <v>0.35699999999999998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</f>
        <v>0</v>
      </c>
      <c r="F261" s="168">
        <f>0.19022</f>
        <v>0.19022</v>
      </c>
      <c r="G261" s="124"/>
      <c r="H261" s="168">
        <f>0.22156</f>
        <v>0.22156000000000001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27.823180000000001</v>
      </c>
      <c r="F262" s="190">
        <f>SUM(F258:F261)</f>
        <v>473.63479000000001</v>
      </c>
      <c r="G262" s="190">
        <f>D262-F262</f>
        <v>2825.3652099999999</v>
      </c>
      <c r="H262" s="190">
        <f>H258+H259+H260+H261</f>
        <v>237.21742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138</v>
      </c>
      <c r="G287" s="221" t="s">
        <v>139</v>
      </c>
      <c r="H287" s="221" t="s">
        <v>140</v>
      </c>
      <c r="I287" s="221" t="s">
        <v>141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48.208200000000005</v>
      </c>
      <c r="G288" s="251">
        <f t="shared" si="14"/>
        <v>2626.5046400000001</v>
      </c>
      <c r="H288" s="251">
        <f>H292+H291+H290+H289</f>
        <v>13475.495360000001</v>
      </c>
      <c r="I288" s="251">
        <f t="shared" si="14"/>
        <v>655.91315999999983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0</f>
        <v>0</v>
      </c>
      <c r="G289" s="255">
        <f>1551.34934</f>
        <v>1551.34934</v>
      </c>
      <c r="H289" s="255">
        <f t="shared" ref="H289:H293" si="15">E289-G289</f>
        <v>6625.6506600000002</v>
      </c>
      <c r="I289" s="255">
        <f>138.8988</f>
        <v>138.89879999999999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432</f>
        <v>432</v>
      </c>
      <c r="H290" s="255">
        <f t="shared" si="15"/>
        <v>1696</v>
      </c>
      <c r="I290" s="255">
        <f>280.6002</f>
        <v>280.60019999999997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46.4658</f>
        <v>46.465800000000002</v>
      </c>
      <c r="G291" s="255">
        <f>397.60165</f>
        <v>397.60165000000001</v>
      </c>
      <c r="H291" s="255">
        <f t="shared" si="15"/>
        <v>959.39834999999994</v>
      </c>
      <c r="I291" s="255">
        <f>229.48456</f>
        <v>229.48455999999999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1.7424</f>
        <v>1.7423999999999999</v>
      </c>
      <c r="G292" s="255">
        <f>245.55365</f>
        <v>245.55365</v>
      </c>
      <c r="H292" s="255">
        <f t="shared" si="15"/>
        <v>4194.4463500000002</v>
      </c>
      <c r="I292" s="255">
        <f>6.9296</f>
        <v>6.9295999999999998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0.207</f>
        <v>0.20699999999999999</v>
      </c>
      <c r="G293" s="266">
        <f>19.213</f>
        <v>19.213000000000001</v>
      </c>
      <c r="H293" s="266">
        <f t="shared" si="15"/>
        <v>5480.7870000000003</v>
      </c>
      <c r="I293" s="266">
        <f>107.84302</f>
        <v>107.84302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52.695369999999997</v>
      </c>
      <c r="G294" s="267">
        <f>G296+G295</f>
        <v>1460.85491</v>
      </c>
      <c r="H294" s="267">
        <f>E294-G294</f>
        <v>6539.14509</v>
      </c>
      <c r="I294" s="267">
        <f>I296+I295</f>
        <v>1444.3000099999999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0</f>
        <v>0</v>
      </c>
      <c r="G295" s="255">
        <f>742.5736</f>
        <v>742.57360000000006</v>
      </c>
      <c r="H295" s="255"/>
      <c r="I295" s="255">
        <f>889.49831</f>
        <v>889.49830999999995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52.69537</f>
        <v>52.695369999999997</v>
      </c>
      <c r="G296" s="276">
        <f>718.28131</f>
        <v>718.28130999999996</v>
      </c>
      <c r="H296" s="276"/>
      <c r="I296" s="276">
        <f>554.8017</f>
        <v>554.80169999999998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0.0567</f>
        <v>5.67E-2</v>
      </c>
      <c r="H297" s="266">
        <f>E297-G297</f>
        <v>9.9433000000000007</v>
      </c>
      <c r="I297" s="266">
        <f>0.1377</f>
        <v>0.13769999999999999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0.09672</f>
        <v>9.672E-2</v>
      </c>
      <c r="G298" s="266">
        <f>2.60512</f>
        <v>2.6051199999999999</v>
      </c>
      <c r="H298" s="266">
        <f>E298-G298</f>
        <v>-2.6051199999999999</v>
      </c>
      <c r="I298" s="266">
        <f>12.52843</f>
        <v>12.52843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101.20729</v>
      </c>
      <c r="G299" s="285">
        <f t="shared" si="16"/>
        <v>4109.234370000001</v>
      </c>
      <c r="H299" s="285">
        <f>H288+H293+H294+H297+H298</f>
        <v>25502.765630000002</v>
      </c>
      <c r="I299" s="285">
        <f t="shared" si="16"/>
        <v>2220.7223199999999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138</v>
      </c>
      <c r="F320" s="20" t="s">
        <v>139</v>
      </c>
      <c r="G320" s="25" t="s">
        <v>140</v>
      </c>
      <c r="H320" s="20" t="s">
        <v>141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87.519300000000001</v>
      </c>
      <c r="F321" s="26">
        <f>F323+F322</f>
        <v>1698.9048299999999</v>
      </c>
      <c r="G321" s="87">
        <f>D321-F321</f>
        <v>542.09517000000005</v>
      </c>
      <c r="H321" s="26">
        <f>SUM(H322:H323)</f>
        <v>992.40792999999996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59.824</f>
        <v>59.823999999999998</v>
      </c>
      <c r="F322" s="207">
        <f>1371.38533</f>
        <v>1371.3853300000001</v>
      </c>
      <c r="G322" s="208"/>
      <c r="H322" s="207">
        <f>793.42525</f>
        <v>793.42525000000001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27.6953</f>
        <v>27.6953</v>
      </c>
      <c r="F323" s="210">
        <f>327.5195</f>
        <v>327.51949999999999</v>
      </c>
      <c r="G323" s="211"/>
      <c r="H323" s="210">
        <f>198.98268</f>
        <v>198.98267999999999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0</v>
      </c>
      <c r="F324" s="26">
        <f>SUM(F325:F326)</f>
        <v>0</v>
      </c>
      <c r="G324" s="87">
        <f>D324-F324</f>
        <v>1120</v>
      </c>
      <c r="H324" s="26">
        <f>SUM(H325:H326)</f>
        <v>0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0</f>
        <v>0</v>
      </c>
      <c r="F325" s="30">
        <f>0</f>
        <v>0</v>
      </c>
      <c r="G325" s="99"/>
      <c r="H325" s="30">
        <f>0</f>
        <v>0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0</f>
        <v>0</v>
      </c>
      <c r="F326" s="30">
        <f>0</f>
        <v>0</v>
      </c>
      <c r="G326" s="110"/>
      <c r="H326" s="30">
        <f>0</f>
        <v>0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87.519300000000001</v>
      </c>
      <c r="F331" s="42">
        <f>F321+F324+F327+F330</f>
        <v>1698.9048299999999</v>
      </c>
      <c r="G331" s="43">
        <f>SUM(G321:G330)</f>
        <v>1662.0951700000001</v>
      </c>
      <c r="H331" s="42">
        <f>H321+H324+H327+H330</f>
        <v>992.40792999999996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12&amp;R27.03.2023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Grete Heegaard</cp:lastModifiedBy>
  <cp:lastPrinted>2022-11-14T12:51:47Z</cp:lastPrinted>
  <dcterms:created xsi:type="dcterms:W3CDTF">2022-08-01T13:23:35Z</dcterms:created>
  <dcterms:modified xsi:type="dcterms:W3CDTF">2023-03-27T09:16:28Z</dcterms:modified>
</cp:coreProperties>
</file>