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2019F8CD-8AC2-4C15-A8DE-8B6989C43D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E414" i="1" s="1"/>
  <c r="H414" i="1"/>
  <c r="F414" i="1"/>
  <c r="H413" i="1"/>
  <c r="F413" i="1"/>
  <c r="E413" i="1"/>
  <c r="E411" i="1" s="1"/>
  <c r="H412" i="1"/>
  <c r="F412" i="1"/>
  <c r="E412" i="1"/>
  <c r="H411" i="1"/>
  <c r="H421" i="1" s="1"/>
  <c r="F411" i="1"/>
  <c r="F421" i="1" s="1"/>
  <c r="E389" i="1"/>
  <c r="D389" i="1"/>
  <c r="I388" i="1"/>
  <c r="G388" i="1"/>
  <c r="H388" i="1" s="1"/>
  <c r="F388" i="1"/>
  <c r="I387" i="1"/>
  <c r="G387" i="1"/>
  <c r="H387" i="1" s="1"/>
  <c r="F387" i="1"/>
  <c r="I386" i="1"/>
  <c r="G386" i="1"/>
  <c r="F386" i="1"/>
  <c r="I385" i="1"/>
  <c r="G385" i="1"/>
  <c r="F385" i="1"/>
  <c r="F384" i="1" s="1"/>
  <c r="I384" i="1"/>
  <c r="H384" i="1"/>
  <c r="G384" i="1"/>
  <c r="I383" i="1"/>
  <c r="H383" i="1"/>
  <c r="G383" i="1"/>
  <c r="F383" i="1"/>
  <c r="I382" i="1"/>
  <c r="H382" i="1"/>
  <c r="H378" i="1" s="1"/>
  <c r="H389" i="1" s="1"/>
  <c r="G382" i="1"/>
  <c r="F382" i="1"/>
  <c r="I381" i="1"/>
  <c r="H381" i="1"/>
  <c r="G381" i="1"/>
  <c r="F381" i="1"/>
  <c r="F378" i="1" s="1"/>
  <c r="I380" i="1"/>
  <c r="H380" i="1"/>
  <c r="G380" i="1"/>
  <c r="F380" i="1"/>
  <c r="I379" i="1"/>
  <c r="H379" i="1"/>
  <c r="G379" i="1"/>
  <c r="F379" i="1"/>
  <c r="I378" i="1"/>
  <c r="I389" i="1" s="1"/>
  <c r="G378" i="1"/>
  <c r="G389" i="1" s="1"/>
  <c r="E378" i="1"/>
  <c r="D378" i="1"/>
  <c r="H370" i="1"/>
  <c r="F370" i="1"/>
  <c r="D352" i="1"/>
  <c r="H351" i="1"/>
  <c r="F351" i="1"/>
  <c r="E351" i="1"/>
  <c r="H350" i="1"/>
  <c r="G350" i="1"/>
  <c r="F350" i="1"/>
  <c r="E350" i="1"/>
  <c r="H349" i="1"/>
  <c r="F349" i="1"/>
  <c r="G349" i="1" s="1"/>
  <c r="E349" i="1"/>
  <c r="H348" i="1"/>
  <c r="H352" i="1" s="1"/>
  <c r="G348" i="1"/>
  <c r="F348" i="1"/>
  <c r="F352" i="1" s="1"/>
  <c r="G352" i="1" s="1"/>
  <c r="E348" i="1"/>
  <c r="E352" i="1" s="1"/>
  <c r="D341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E297" i="1" s="1"/>
  <c r="H251" i="1"/>
  <c r="F251" i="1"/>
  <c r="E251" i="1"/>
  <c r="E252" i="1" s="1"/>
  <c r="H250" i="1"/>
  <c r="H252" i="1" s="1"/>
  <c r="F250" i="1"/>
  <c r="E250" i="1"/>
  <c r="H249" i="1"/>
  <c r="F249" i="1"/>
  <c r="F252" i="1" s="1"/>
  <c r="G252" i="1" s="1"/>
  <c r="E249" i="1"/>
  <c r="F207" i="1"/>
  <c r="G207" i="1" s="1"/>
  <c r="D207" i="1"/>
  <c r="G206" i="1"/>
  <c r="H205" i="1"/>
  <c r="F205" i="1"/>
  <c r="G205" i="1" s="1"/>
  <c r="E205" i="1"/>
  <c r="E207" i="1" s="1"/>
  <c r="H204" i="1"/>
  <c r="H207" i="1" s="1"/>
  <c r="G204" i="1"/>
  <c r="F204" i="1"/>
  <c r="E204" i="1"/>
  <c r="D184" i="1"/>
  <c r="G184" i="1" s="1"/>
  <c r="H182" i="1"/>
  <c r="F182" i="1"/>
  <c r="G182" i="1" s="1"/>
  <c r="E182" i="1"/>
  <c r="H181" i="1"/>
  <c r="F181" i="1"/>
  <c r="E181" i="1"/>
  <c r="E178" i="1" s="1"/>
  <c r="H180" i="1"/>
  <c r="H178" i="1" s="1"/>
  <c r="F180" i="1"/>
  <c r="E180" i="1"/>
  <c r="H179" i="1"/>
  <c r="F179" i="1"/>
  <c r="E179" i="1"/>
  <c r="F178" i="1"/>
  <c r="G178" i="1" s="1"/>
  <c r="H177" i="1"/>
  <c r="F177" i="1"/>
  <c r="G177" i="1" s="1"/>
  <c r="E177" i="1"/>
  <c r="H176" i="1"/>
  <c r="F176" i="1"/>
  <c r="E176" i="1"/>
  <c r="H175" i="1"/>
  <c r="F175" i="1"/>
  <c r="F184" i="1" s="1"/>
  <c r="E175" i="1"/>
  <c r="D150" i="1"/>
  <c r="I148" i="1"/>
  <c r="G148" i="1"/>
  <c r="F148" i="1"/>
  <c r="I147" i="1"/>
  <c r="G147" i="1"/>
  <c r="H147" i="1" s="1"/>
  <c r="F147" i="1"/>
  <c r="H146" i="1"/>
  <c r="H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I139" i="1" s="1"/>
  <c r="H140" i="1"/>
  <c r="H139" i="1" s="1"/>
  <c r="G140" i="1"/>
  <c r="G139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H134" i="1" s="1"/>
  <c r="F135" i="1"/>
  <c r="F134" i="1" s="1"/>
  <c r="F133" i="1" s="1"/>
  <c r="I134" i="1"/>
  <c r="I133" i="1" s="1"/>
  <c r="G134" i="1"/>
  <c r="E134" i="1"/>
  <c r="E133" i="1"/>
  <c r="I132" i="1"/>
  <c r="H132" i="1"/>
  <c r="F132" i="1"/>
  <c r="I131" i="1"/>
  <c r="G131" i="1"/>
  <c r="H131" i="1" s="1"/>
  <c r="F131" i="1"/>
  <c r="I130" i="1"/>
  <c r="G130" i="1"/>
  <c r="H130" i="1" s="1"/>
  <c r="F130" i="1"/>
  <c r="I129" i="1"/>
  <c r="G129" i="1"/>
  <c r="H129" i="1" s="1"/>
  <c r="F129" i="1"/>
  <c r="F128" i="1" s="1"/>
  <c r="F150" i="1" s="1"/>
  <c r="I128" i="1"/>
  <c r="E128" i="1"/>
  <c r="E150" i="1" s="1"/>
  <c r="C126" i="1"/>
  <c r="H106" i="1"/>
  <c r="I105" i="1"/>
  <c r="H105" i="1"/>
  <c r="G105" i="1"/>
  <c r="F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I96" i="1" s="1"/>
  <c r="I95" i="1" s="1"/>
  <c r="I107" i="1" s="1"/>
  <c r="H97" i="1"/>
  <c r="G97" i="1"/>
  <c r="F97" i="1"/>
  <c r="G96" i="1"/>
  <c r="G95" i="1" s="1"/>
  <c r="F96" i="1"/>
  <c r="F95" i="1" s="1"/>
  <c r="E96" i="1"/>
  <c r="E95" i="1" s="1"/>
  <c r="D96" i="1"/>
  <c r="D95" i="1" s="1"/>
  <c r="D107" i="1" s="1"/>
  <c r="I94" i="1"/>
  <c r="H94" i="1"/>
  <c r="G94" i="1"/>
  <c r="F94" i="1"/>
  <c r="I93" i="1"/>
  <c r="G93" i="1"/>
  <c r="G92" i="1" s="1"/>
  <c r="G107" i="1" s="1"/>
  <c r="F93" i="1"/>
  <c r="F92" i="1" s="1"/>
  <c r="F107" i="1" s="1"/>
  <c r="I92" i="1"/>
  <c r="E92" i="1"/>
  <c r="C89" i="1"/>
  <c r="H85" i="1"/>
  <c r="F85" i="1"/>
  <c r="D85" i="1"/>
  <c r="G61" i="1"/>
  <c r="G60" i="1"/>
  <c r="H55" i="1"/>
  <c r="F55" i="1"/>
  <c r="G55" i="1" s="1"/>
  <c r="E55" i="1"/>
  <c r="F32" i="1" s="1"/>
  <c r="E44" i="1"/>
  <c r="D44" i="1"/>
  <c r="H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F34" i="1" s="1"/>
  <c r="I35" i="1"/>
  <c r="I34" i="1" s="1"/>
  <c r="G35" i="1"/>
  <c r="H35" i="1" s="1"/>
  <c r="F35" i="1"/>
  <c r="I33" i="1"/>
  <c r="G33" i="1"/>
  <c r="H33" i="1" s="1"/>
  <c r="F33" i="1"/>
  <c r="I32" i="1"/>
  <c r="I31" i="1"/>
  <c r="G31" i="1"/>
  <c r="H31" i="1" s="1"/>
  <c r="F31" i="1"/>
  <c r="I30" i="1"/>
  <c r="G30" i="1"/>
  <c r="H30" i="1" s="1"/>
  <c r="F30" i="1"/>
  <c r="I29" i="1"/>
  <c r="I27" i="1" s="1"/>
  <c r="G29" i="1"/>
  <c r="H29" i="1" s="1"/>
  <c r="F29" i="1"/>
  <c r="I28" i="1"/>
  <c r="G28" i="1"/>
  <c r="H28" i="1" s="1"/>
  <c r="F28" i="1"/>
  <c r="I25" i="1"/>
  <c r="G25" i="1"/>
  <c r="H25" i="1" s="1"/>
  <c r="F25" i="1"/>
  <c r="I24" i="1"/>
  <c r="G24" i="1"/>
  <c r="H24" i="1" s="1"/>
  <c r="F24" i="1"/>
  <c r="F23" i="1" s="1"/>
  <c r="I23" i="1"/>
  <c r="G23" i="1"/>
  <c r="H16" i="1"/>
  <c r="F16" i="1"/>
  <c r="D16" i="1"/>
  <c r="G133" i="1" l="1"/>
  <c r="F27" i="1"/>
  <c r="F26" i="1" s="1"/>
  <c r="F44" i="1" s="1"/>
  <c r="I44" i="1"/>
  <c r="I26" i="1"/>
  <c r="G32" i="1"/>
  <c r="H32" i="1" s="1"/>
  <c r="H27" i="1" s="1"/>
  <c r="H128" i="1"/>
  <c r="F389" i="1"/>
  <c r="H184" i="1"/>
  <c r="E184" i="1"/>
  <c r="E421" i="1"/>
  <c r="H92" i="1"/>
  <c r="H107" i="1" s="1"/>
  <c r="H96" i="1"/>
  <c r="H95" i="1" s="1"/>
  <c r="H23" i="1"/>
  <c r="E107" i="1"/>
  <c r="I150" i="1"/>
  <c r="H133" i="1"/>
  <c r="G34" i="1"/>
  <c r="H93" i="1"/>
  <c r="G128" i="1"/>
  <c r="G150" i="1" s="1"/>
  <c r="G175" i="1"/>
  <c r="G27" i="1" l="1"/>
  <c r="H34" i="1"/>
  <c r="H26" i="1" s="1"/>
  <c r="H44" i="1" s="1"/>
  <c r="G26" i="1"/>
  <c r="G44" i="1" s="1"/>
  <c r="H150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<sst xmlns="http://schemas.openxmlformats.org/spreadsheetml/2006/main" count="358" uniqueCount="150">
  <si>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</si>
  <si>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</si>
  <si>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</si>
  <si>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</si>
  <si>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</si>
  <si>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</si>
  <si>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</si>
  <si>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</si>
  <si>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</si>
  <si>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</si>
  <si>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</si>
  <si>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</si>
  <si>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</si>
  <si>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</si>
  <si>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</si>
  <si>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</si>
  <si>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</si>
  <si>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</si>
  <si>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</si>
  <si>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</si>
  <si>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</si>
  <si>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</si>
  <si>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</si>
  <si>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</si>
  <si>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</si>
  <si>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</si>
  <si>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</si>
  <si>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</si>
  <si>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</si>
  <si>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</si>
  <si>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</si>
  <si>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</si>
  <si>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</si>
  <si>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</si>
  <si>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</si>
  <si>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</si>
  <si>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</si>
  <si>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</si>
  <si>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</si>
  <si>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</si>
  <si>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</si>
  <si>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</si>
  <si>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</si>
  <si>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</si>
  <si>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</si>
  <si>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</si>
  <si>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</si>
  <si>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</si>
  <si>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</si>
  <si>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</si>
  <si>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</si>
  <si>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</si>
  <si>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</si>
  <si>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</si>
  <si>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</si>
  <si>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</si>
  <si>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</si>
  <si>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</si>
  <si>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</si>
  <si>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</si>
  <si>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</si>
  <si>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</si>
  <si>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</si>
  <si>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</si>
  <si>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</si>
  <si>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</si>
  <si>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</si>
  <si>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</si>
  <si>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</si>
  <si>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</si>
  <si>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</si>
  <si>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</si>
  <si>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</si>
  <si>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</si>
  <si>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</si>
  <si>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</si>
  <si>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</si>
  <si>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</si>
  <si>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</si>
  <si>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</si>
  <si>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</si>
  <si>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</si>
  <si>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</si>
  <si>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</si>
  <si>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</si>
  <si>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</si>
  <si>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</si>
  <si>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</si>
  <si>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</si>
  <si>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</si>
  <si>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</si>
  <si>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</si>
  <si>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</si>
  <si>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</si>
  <si>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</si>
  <si>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</si>
  <si>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</si>
  <si>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</si>
  <si>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</si>
  <si>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</si>
  <si>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</si>
  <si>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</si>
  <si>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</si>
  <si>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</si>
  <si>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</si>
  <si>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</si>
  <si>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</si>
  <si>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</si>
  <si>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</si>
  <si>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</si>
  <si>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</si>
  <si>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</si>
  <si>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</si>
  <si>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</si>
  <si>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</si>
  <si>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</si>
  <si>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</si>
  <si>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</si>
  <si>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</si>
  <si>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</si>
  <si>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</si>
  <si>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</si>
  <si>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</si>
  <si>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</si>
  <si>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</si>
  <si>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</si>
  <si>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</si>
  <si>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</si>
  <si>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</si>
  <si>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</si>
  <si>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</si>
  <si>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</si>
  <si>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</si>
  <si>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</si>
  <si>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</si>
  <si>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</si>
  <si>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</si>
  <si>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</si>
  <si>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</si>
  <si>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</si>
  <si>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</si>
  <si>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</si>
  <si>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42</t>
  </si>
  <si>
    <t>FANGST T.O.M UKE 42</t>
  </si>
  <si>
    <t>RESTKVOTER UKE 42</t>
  </si>
  <si>
    <t>FANGST T.O.M UKE 42 2022</t>
  </si>
  <si>
    <r>
      <t xml:space="preserve">3 </t>
    </r>
    <r>
      <rPr>
        <sz val="9"/>
        <color indexed="8"/>
        <rFont val="Calibri"/>
        <family val="2"/>
      </rPr>
      <t>Registrert rekreasjonsfiske utgjør 714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</si>
  <si>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68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</si>
  <si>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662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</si>
  <si>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7 143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</si>
</sst>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>
      <selection activeCell="E4" sqref="E4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139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705.22950000000003</v>
      </c>
      <c r="G23" s="28">
        <f t="shared" si="0"/>
        <v>64155.550799999997</v>
      </c>
      <c r="H23" s="11">
        <f t="shared" si="0"/>
        <v>22671.449200000003</v>
      </c>
      <c r="I23" s="11">
        <f t="shared" si="0"/>
        <v>79500.893349999998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705.2295</f>
        <v>705.22950000000003</v>
      </c>
      <c r="G24" s="23">
        <f>63664.49795</f>
        <v>63664.497949999997</v>
      </c>
      <c r="H24" s="23">
        <f>E24-G24</f>
        <v>22380.502050000003</v>
      </c>
      <c r="I24" s="23">
        <f>78923.98505</f>
        <v>78923.985050000003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491.05285</f>
        <v>491.05284999999998</v>
      </c>
      <c r="H25" s="23">
        <f>E25-G25</f>
        <v>290.94715000000002</v>
      </c>
      <c r="I25" s="23">
        <f>576.9083</f>
        <v>576.90830000000005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436.70407</v>
      </c>
      <c r="G26" s="11">
        <f t="shared" si="1"/>
        <v>178558.24219999998</v>
      </c>
      <c r="H26" s="11">
        <f t="shared" si="1"/>
        <v>19011.757799999999</v>
      </c>
      <c r="I26" s="11">
        <f t="shared" si="1"/>
        <v>217349.61812999999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249.28122000000002</v>
      </c>
      <c r="G27" s="134">
        <f t="shared" ref="G27:I27" si="2">G28+G29+G30+G31+G32</f>
        <v>140792.26037999999</v>
      </c>
      <c r="H27" s="134">
        <f t="shared" si="2"/>
        <v>11858.73962</v>
      </c>
      <c r="I27" s="134">
        <f t="shared" si="2"/>
        <v>175665.25216999999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49.47639</f>
        <v>49.476390000000002</v>
      </c>
      <c r="G28" s="129">
        <f>37491.38909 - F57</f>
        <v>35456.389089999997</v>
      </c>
      <c r="H28" s="129">
        <f t="shared" ref="H28:H40" si="3">E28-G28</f>
        <v>4092.6109100000031</v>
      </c>
      <c r="I28" s="129">
        <f>43790.56664 - H57</f>
        <v>41210.566639999997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89.65985</f>
        <v>89.659850000000006</v>
      </c>
      <c r="G29" s="129">
        <f>40284.62625 - F58</f>
        <v>37789.626250000001</v>
      </c>
      <c r="H29" s="129">
        <f t="shared" si="3"/>
        <v>2974.3737499999988</v>
      </c>
      <c r="I29" s="129">
        <f>49135.39403 - H58</f>
        <v>47116.394030000003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8.11468</f>
        <v>8.1146799999999999</v>
      </c>
      <c r="G30" s="129">
        <f>37537.59444 - F59</f>
        <v>36369.594440000001</v>
      </c>
      <c r="H30" s="129">
        <f t="shared" si="3"/>
        <v>897.40555999999924</v>
      </c>
      <c r="I30" s="129">
        <f>48149.58273 - H59</f>
        <v>46974.582730000002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12.0303</f>
        <v>12.0303</v>
      </c>
      <c r="G31" s="129">
        <f>25209.6506 - F60</f>
        <v>24565.650600000001</v>
      </c>
      <c r="H31" s="129">
        <f t="shared" si="3"/>
        <v>841.34939999999915</v>
      </c>
      <c r="I31" s="129">
        <f>34277.70877 - H60</f>
        <v>33593.708769999997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90</v>
      </c>
      <c r="G32" s="129">
        <f>F55</f>
        <v>6611</v>
      </c>
      <c r="H32" s="129">
        <f t="shared" si="3"/>
        <v>3053</v>
      </c>
      <c r="I32" s="129">
        <f>H55</f>
        <v>6770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125.31177</f>
        <v>125.31177</v>
      </c>
      <c r="G33" s="134">
        <f>16686.74641</f>
        <v>16686.74641</v>
      </c>
      <c r="H33" s="134">
        <f t="shared" si="3"/>
        <v>6899.2535900000003</v>
      </c>
      <c r="I33" s="134">
        <f>20700.58135</f>
        <v>20700.58135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62.111080000000001</v>
      </c>
      <c r="G34" s="134">
        <f>G35+G36</f>
        <v>21079.235410000001</v>
      </c>
      <c r="H34" s="134">
        <f t="shared" si="3"/>
        <v>253.76458999999886</v>
      </c>
      <c r="I34" s="134">
        <f>I35+I36</f>
        <v>20983.784609999999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39.11108</f>
        <v>39.111080000000001</v>
      </c>
      <c r="G35" s="134">
        <f>24841.23541 - F61 - F62</f>
        <v>20435.235410000001</v>
      </c>
      <c r="H35" s="129">
        <f t="shared" si="3"/>
        <v>-302.23541000000114</v>
      </c>
      <c r="I35" s="129">
        <f>21982.78461 - H61 - H62</f>
        <v>20299.784609999999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23</v>
      </c>
      <c r="G36" s="73">
        <f>F60</f>
        <v>644</v>
      </c>
      <c r="H36" s="73">
        <f t="shared" si="3"/>
        <v>556</v>
      </c>
      <c r="I36" s="73">
        <f>H60</f>
        <v>684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445.0706</f>
        <v>445.07060000000001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2.1</f>
        <v>2.1</v>
      </c>
      <c r="G38" s="100">
        <f>509.24962</f>
        <v>509.24961999999999</v>
      </c>
      <c r="H38" s="100">
        <f t="shared" si="3"/>
        <v>341.75038000000001</v>
      </c>
      <c r="I38" s="100">
        <f>483.78233</f>
        <v>483.78233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3</v>
      </c>
      <c r="G39" s="100">
        <f>F61</f>
        <v>4406</v>
      </c>
      <c r="H39" s="100">
        <f t="shared" si="3"/>
        <v>-1358</v>
      </c>
      <c r="I39" s="100">
        <f>H61</f>
        <v>1683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3.27196</f>
        <v>3.27196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>
        <f>0.588</f>
        <v>0.58799999999999997</v>
      </c>
      <c r="G41" s="100">
        <f>357.10535</f>
        <v>357.10534999999999</v>
      </c>
      <c r="H41" s="100">
        <f>E41-G41</f>
        <v>-57.105349999999987</v>
      </c>
      <c r="I41" s="100">
        <f>125.18005</f>
        <v>125.18004999999999</v>
      </c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1150.89653</v>
      </c>
      <c r="G44" s="78">
        <f t="shared" si="4"/>
        <v>255812.50056999997</v>
      </c>
      <c r="H44" s="78">
        <f t="shared" si="4"/>
        <v>42883.499429999974</v>
      </c>
      <c r="I44" s="78">
        <f t="shared" si="4"/>
        <v>306708.48288999998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90</v>
      </c>
      <c r="F55" s="11">
        <f>F59+F58+F57+F56</f>
        <v>6611</v>
      </c>
      <c r="G55" s="299">
        <f>D55-F55</f>
        <v>3229</v>
      </c>
      <c r="H55" s="11">
        <f>H59+H58+H57+H56</f>
        <v>6770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34</v>
      </c>
      <c r="F56" s="129">
        <v>913</v>
      </c>
      <c r="G56" s="300"/>
      <c r="H56" s="129">
        <v>996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47</v>
      </c>
      <c r="F57" s="129">
        <v>2035</v>
      </c>
      <c r="G57" s="300"/>
      <c r="H57" s="129">
        <v>2580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6</v>
      </c>
      <c r="F58" s="129">
        <v>2495</v>
      </c>
      <c r="G58" s="300"/>
      <c r="H58" s="129">
        <v>2019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3</v>
      </c>
      <c r="F59" s="194">
        <v>1168</v>
      </c>
      <c r="G59" s="301"/>
      <c r="H59" s="194">
        <v>1175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23</v>
      </c>
      <c r="F60" s="97">
        <v>644</v>
      </c>
      <c r="G60" s="97">
        <f>D60-F60</f>
        <v>556</v>
      </c>
      <c r="H60" s="97">
        <v>684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3</v>
      </c>
      <c r="F61" s="141">
        <v>4406</v>
      </c>
      <c r="G61" s="141">
        <f>D61-F61</f>
        <v>-1406</v>
      </c>
      <c r="H61" s="141">
        <v>1683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195.42684</v>
      </c>
      <c r="G92" s="11">
        <f t="shared" si="5"/>
        <v>40323.532050000002</v>
      </c>
      <c r="H92" s="11">
        <f t="shared" si="5"/>
        <v>-5524.5320500000016</v>
      </c>
      <c r="I92" s="11">
        <f t="shared" si="5"/>
        <v>36777.063829999999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195.42684</f>
        <v>195.42684</v>
      </c>
      <c r="G93" s="23">
        <f>39772.64626</f>
        <v>39772.646260000001</v>
      </c>
      <c r="H93" s="23">
        <f>E93-G93</f>
        <v>-5785.6462600000013</v>
      </c>
      <c r="I93" s="23">
        <f>36040.58522</f>
        <v>36040.585220000001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550.88579</f>
        <v>550.88579000000004</v>
      </c>
      <c r="H94" s="52">
        <f>E94-G94</f>
        <v>261.11420999999996</v>
      </c>
      <c r="I94" s="52">
        <f>736.47861</f>
        <v>736.47861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682.71206999999993</v>
      </c>
      <c r="G95" s="11">
        <f t="shared" si="6"/>
        <v>32752.402870000002</v>
      </c>
      <c r="H95" s="11">
        <f t="shared" si="6"/>
        <v>26747.597130000006</v>
      </c>
      <c r="I95" s="11">
        <f t="shared" si="6"/>
        <v>37210.156909999998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397.78323</v>
      </c>
      <c r="G96" s="134">
        <f t="shared" si="7"/>
        <v>23017.083870000002</v>
      </c>
      <c r="H96" s="134">
        <f t="shared" si="7"/>
        <v>21473.916130000005</v>
      </c>
      <c r="I96" s="134">
        <f t="shared" si="7"/>
        <v>28701.329309999997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220.3341</f>
        <v>220.33410000000001</v>
      </c>
      <c r="G97" s="129">
        <f>3919.53074</f>
        <v>3919.5307400000002</v>
      </c>
      <c r="H97" s="129">
        <f t="shared" ref="H97:H104" si="8">E97-G97</f>
        <v>7964.1692600000006</v>
      </c>
      <c r="I97" s="129">
        <f>3456.19313</f>
        <v>3456.1931300000001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120.31679</f>
        <v>120.31679</v>
      </c>
      <c r="G98" s="129">
        <f>7242.18752</f>
        <v>7242.1875200000004</v>
      </c>
      <c r="H98" s="129">
        <f t="shared" si="8"/>
        <v>5422.91248</v>
      </c>
      <c r="I98" s="129">
        <f>9489.4016</f>
        <v>9489.4015999999992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44.13508</f>
        <v>44.135080000000002</v>
      </c>
      <c r="G99" s="129">
        <f>6647.14887</f>
        <v>6647.14887</v>
      </c>
      <c r="H99" s="129">
        <f t="shared" si="8"/>
        <v>5318.4511300000004</v>
      </c>
      <c r="I99" s="129">
        <f>8178.24652</f>
        <v>8178.2465199999997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12.99726</f>
        <v>12.997260000000001</v>
      </c>
      <c r="G100" s="129">
        <f>5208.21674</f>
        <v>5208.2167399999998</v>
      </c>
      <c r="H100" s="129">
        <f t="shared" si="8"/>
        <v>2768.3832600000005</v>
      </c>
      <c r="I100" s="129">
        <f>7577.48806</f>
        <v>7577.4880599999997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207.8235</f>
        <v>207.8235</v>
      </c>
      <c r="G101" s="134">
        <f>7898.82163</f>
        <v>7898.8216300000004</v>
      </c>
      <c r="H101" s="134">
        <f t="shared" si="8"/>
        <v>2492.1783699999996</v>
      </c>
      <c r="I101" s="134">
        <f>6810.91563</f>
        <v>6810.9156300000004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77.10534</f>
        <v>77.105339999999998</v>
      </c>
      <c r="G102" s="77">
        <f>1836.49737</f>
        <v>1836.49737</v>
      </c>
      <c r="H102" s="77">
        <f t="shared" si="8"/>
        <v>2781.50263</v>
      </c>
      <c r="I102" s="77">
        <f>1697.91197</f>
        <v>1697.9119700000001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11.36609</f>
        <v>11.36609</v>
      </c>
      <c r="H103" s="100">
        <f t="shared" si="8"/>
        <v>308.63391000000001</v>
      </c>
      <c r="I103" s="100">
        <f>22.12719</f>
        <v>22.127189999999999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0.34206</f>
        <v>0.34205999999999998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00">
        <f>0.45578</f>
        <v>0.45578000000000002</v>
      </c>
      <c r="G105" s="100">
        <f>11.49238</f>
        <v>11.492380000000001</v>
      </c>
      <c r="H105" s="141">
        <f>E105-G105</f>
        <v>38.507620000000003</v>
      </c>
      <c r="I105" s="100">
        <f>4.7883</f>
        <v>4.7882999999999996</v>
      </c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878.93674999999985</v>
      </c>
      <c r="G107" s="78">
        <f t="shared" si="9"/>
        <v>73407.561189999979</v>
      </c>
      <c r="H107" s="78">
        <f t="shared" si="9"/>
        <v>21561.438810000018</v>
      </c>
      <c r="I107" s="78">
        <f t="shared" si="9"/>
        <v>74357.871009999988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287.39895000000001</v>
      </c>
      <c r="G128" s="11">
        <f t="shared" si="11"/>
        <v>58163.692300000002</v>
      </c>
      <c r="H128" s="11">
        <f t="shared" si="11"/>
        <v>12543.307699999996</v>
      </c>
      <c r="I128" s="11">
        <f t="shared" si="11"/>
        <v>55826.097280000009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276.71895</f>
        <v>276.71895000000001</v>
      </c>
      <c r="G129" s="23">
        <f>50809.85255</f>
        <v>50809.852550000003</v>
      </c>
      <c r="H129" s="23">
        <f>E129-G129</f>
        <v>5415.1474499999968</v>
      </c>
      <c r="I129" s="23">
        <f>47337.77982</f>
        <v>47337.779820000003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7220.0797</f>
        <v>7220.0797000000002</v>
      </c>
      <c r="H130" s="23">
        <f>E130-G130</f>
        <v>6761.9202999999998</v>
      </c>
      <c r="I130" s="23">
        <f>8253.90946</f>
        <v>8253.9094600000008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23">
        <f>10.68</f>
        <v>10.68</v>
      </c>
      <c r="G131" s="23">
        <f>133.76005</f>
        <v>133.76005000000001</v>
      </c>
      <c r="H131" s="58">
        <f>E131-G131</f>
        <v>366.23995000000002</v>
      </c>
      <c r="I131" s="23">
        <f>234.408</f>
        <v>234.40799999999999</v>
      </c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1.654</f>
        <v>1.6539999999999999</v>
      </c>
      <c r="G132" s="97">
        <f>38802.81518 + 7142.61213</f>
        <v>45945.427309999999</v>
      </c>
      <c r="H132" s="97">
        <f>E132-G132</f>
        <v>3339.5726900000009</v>
      </c>
      <c r="I132" s="97">
        <f>40664.96848</f>
        <v>40664.968480000003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813.10243999999989</v>
      </c>
      <c r="G133" s="96">
        <f t="shared" ref="G133" si="12">G134+G139+G142</f>
        <v>62276.575920000003</v>
      </c>
      <c r="H133" s="96">
        <f>H134+H139+H142</f>
        <v>18835.424079999997</v>
      </c>
      <c r="I133" s="96">
        <f>I134+I139+I142</f>
        <v>65629.404790000001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636.11910999999998</v>
      </c>
      <c r="G134" s="127">
        <f>G135+G136+G138+G137</f>
        <v>47866.155880000006</v>
      </c>
      <c r="H134" s="127">
        <f>H135+H136+H137+H138</f>
        <v>11766.844119999998</v>
      </c>
      <c r="I134" s="127">
        <f>I135+I136+I137+I138</f>
        <v>51770.113620000004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232.88332</f>
        <v>232.88332</v>
      </c>
      <c r="G135" s="129">
        <v>9221.3778700000003</v>
      </c>
      <c r="H135" s="129">
        <f>E135-G135</f>
        <v>8316.6221299999997</v>
      </c>
      <c r="I135" s="129">
        <f>8677.8355</f>
        <v>8677.8354999999992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123.57681</f>
        <v>123.57680999999999</v>
      </c>
      <c r="G136" s="129">
        <v>14281.334629999999</v>
      </c>
      <c r="H136" s="129">
        <f>E136-G136</f>
        <v>836.66537000000062</v>
      </c>
      <c r="I136" s="129">
        <f>11661.94143</f>
        <v>11661.941430000001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94.31828</f>
        <v>94.318280000000001</v>
      </c>
      <c r="G137" s="129">
        <v>13390.436970000002</v>
      </c>
      <c r="H137" s="129">
        <f>E137-G137</f>
        <v>1665.5630299999975</v>
      </c>
      <c r="I137" s="129">
        <f>16782.36201</f>
        <v>16782.362010000001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185.3407</f>
        <v>185.3407</v>
      </c>
      <c r="G138" s="129">
        <v>10973.00641</v>
      </c>
      <c r="H138" s="129">
        <f>E138-G138</f>
        <v>947.99359000000004</v>
      </c>
      <c r="I138" s="129">
        <f>14647.97468</f>
        <v>14647.974679999999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13.9734</v>
      </c>
      <c r="G139" s="134">
        <f>SUM(G140:G141)</f>
        <v>7261.1929499999997</v>
      </c>
      <c r="H139" s="134">
        <f>H140+H141</f>
        <v>2189.8070499999999</v>
      </c>
      <c r="I139" s="134">
        <f>SUM(I140:I141)</f>
        <v>6568.8697300000003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11.5824</f>
        <v>11.5824</v>
      </c>
      <c r="G140" s="129">
        <f>6998.17429</f>
        <v>6998.1742899999999</v>
      </c>
      <c r="H140" s="129">
        <f t="shared" ref="H140:H147" si="13">E140-G140</f>
        <v>1952.8257100000001</v>
      </c>
      <c r="I140" s="129">
        <f>6273.99048</f>
        <v>6273.9904800000004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2.391</f>
        <v>2.391</v>
      </c>
      <c r="G141" s="129">
        <f>263.01866</f>
        <v>263.01866000000001</v>
      </c>
      <c r="H141" s="129">
        <f t="shared" si="13"/>
        <v>236.98133999999999</v>
      </c>
      <c r="I141" s="129">
        <f>294.87925</f>
        <v>294.87925000000001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163.00993</f>
        <v>163.00993</v>
      </c>
      <c r="G142" s="77">
        <f>7149.22709</f>
        <v>7149.2270900000003</v>
      </c>
      <c r="H142" s="77">
        <f t="shared" si="13"/>
        <v>4878.7729099999997</v>
      </c>
      <c r="I142" s="77">
        <f>7290.42144</f>
        <v>7290.4214400000001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0.14175</f>
        <v>0.14174999999999999</v>
      </c>
      <c r="G143" s="141">
        <f>31.8374</f>
        <v>31.837399999999999</v>
      </c>
      <c r="H143" s="141">
        <f t="shared" si="13"/>
        <v>105.1626</v>
      </c>
      <c r="I143" s="141">
        <f>28.00367</f>
        <v>28.00367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6.28865</f>
        <v>6.2886499999999996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00">
        <f>0.5778</f>
        <v>0.57779999999999998</v>
      </c>
      <c r="G147" s="100">
        <f>28.25023</f>
        <v>28.250229999999998</v>
      </c>
      <c r="H147" s="141">
        <f t="shared" si="13"/>
        <v>166.74977000000001</v>
      </c>
      <c r="I147" s="100">
        <f>7.07005</f>
        <v>7.0700500000000002</v>
      </c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>
        <f>7.805</f>
        <v>7.8049999999999997</v>
      </c>
      <c r="G148" s="141">
        <f>121.67963</f>
        <v>121.67963</v>
      </c>
      <c r="H148" s="141"/>
      <c r="I148" s="141">
        <f>83.1498</f>
        <v>83.149799999999999</v>
      </c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1116.9685899999999</v>
      </c>
      <c r="G150" s="78">
        <f>G128+G132+G133+G143+G144+G145+G146+G147+G148</f>
        <v>168830.04379</v>
      </c>
      <c r="H150" s="78">
        <f>H128+H132+H133+H143+H144+H145+H146+H147+H148</f>
        <v>34977.635840000003</v>
      </c>
      <c r="I150" s="78">
        <f>I128+I132+I133+I143+I144+I145+I146+I147+I148</f>
        <v>164545.67007000005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149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148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19.80581</f>
        <v>19.805810000000001</v>
      </c>
      <c r="F175" s="274">
        <f>1589.5571</f>
        <v>1589.5571</v>
      </c>
      <c r="G175" s="45">
        <f>D175-F175-F176</f>
        <v>1653.9525900000001</v>
      </c>
      <c r="H175" s="274">
        <f>1486.81899</f>
        <v>1486.81899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1744.49031</f>
        <v>1744.4903099999999</v>
      </c>
      <c r="G176" s="215"/>
      <c r="H176" s="154">
        <f>1664.76991</f>
        <v>1664.76991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74.78746</f>
        <v>74.787459999999996</v>
      </c>
      <c r="G177" s="174">
        <f>D177-F177</f>
        <v>125.21254</v>
      </c>
      <c r="H177" s="174">
        <f>50.8172</f>
        <v>50.8172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6.0597899999999996</v>
      </c>
      <c r="F178" s="183">
        <f>F179+F180+F181</f>
        <v>8097.3039600000002</v>
      </c>
      <c r="G178" s="183">
        <f>D178-F178</f>
        <v>-616.30396000000019</v>
      </c>
      <c r="H178" s="183">
        <f>H179+H180+H181</f>
        <v>7762.6068599999999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1.38073</f>
        <v>1.38073</v>
      </c>
      <c r="F179" s="129">
        <f>4172.73825</f>
        <v>4172.7382500000003</v>
      </c>
      <c r="G179" s="129"/>
      <c r="H179" s="129">
        <f>3972.78286</f>
        <v>3972.7828599999998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2.9027</f>
        <v>2.9026999999999998</v>
      </c>
      <c r="F180" s="129">
        <f>2497.96698</f>
        <v>2497.9669800000001</v>
      </c>
      <c r="G180" s="129"/>
      <c r="H180" s="129">
        <f>2432.36222</f>
        <v>2432.36222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1.77636</f>
        <v>1.7763599999999999</v>
      </c>
      <c r="F181" s="194">
        <f>1426.59873</f>
        <v>1426.5987299999999</v>
      </c>
      <c r="G181" s="194"/>
      <c r="H181" s="194">
        <f>1357.46178</f>
        <v>1357.4617800000001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25.865600000000001</v>
      </c>
      <c r="F184" s="196">
        <f>F175+F176+F177+F178+F182+F183</f>
        <v>11506.13883</v>
      </c>
      <c r="G184" s="196">
        <f>D184-F184</f>
        <v>1228.8611700000001</v>
      </c>
      <c r="H184" s="196">
        <f>H175+H176+H177+H178+H182+H183</f>
        <v>10965.01296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306.64193</f>
        <v>306.64193</v>
      </c>
      <c r="F204" s="124">
        <f>41070.84563</f>
        <v>41070.845630000003</v>
      </c>
      <c r="G204" s="124">
        <f>D204-F204</f>
        <v>2768.1543699999966</v>
      </c>
      <c r="H204" s="124">
        <f>36713.02562</f>
        <v>36713.02562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0.2475</f>
        <v>0.2475</v>
      </c>
      <c r="F205" s="124">
        <f>65.93523</f>
        <v>65.935230000000004</v>
      </c>
      <c r="G205" s="124">
        <f>D205-F205</f>
        <v>34.064769999999996</v>
      </c>
      <c r="H205" s="124">
        <f>58.6368</f>
        <v>58.636800000000001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306.88943</v>
      </c>
      <c r="F207" s="190">
        <f>SUM(F204:F206)</f>
        <v>41136.780860000006</v>
      </c>
      <c r="G207" s="190">
        <f>D207-F207</f>
        <v>2844.2191399999938</v>
      </c>
      <c r="H207" s="190">
        <f>SUM(H204:H206)</f>
        <v>36771.662420000001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2.31288</f>
        <v>2.3128799999999998</v>
      </c>
      <c r="F249" s="77">
        <f>3558.06716</f>
        <v>3558.0671600000001</v>
      </c>
      <c r="G249" s="77"/>
      <c r="H249" s="77">
        <f>2832.62448</f>
        <v>2832.6244799999999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65.30884</f>
        <v>65.308840000000004</v>
      </c>
      <c r="F250" s="77">
        <f>5239.33438</f>
        <v>5239.3343800000002</v>
      </c>
      <c r="G250" s="77"/>
      <c r="H250" s="77">
        <f>4789.33575</f>
        <v>4789.3357500000002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4.4973</f>
        <v>4.4973000000000001</v>
      </c>
      <c r="F251" s="124">
        <f>619.43481</f>
        <v>619.43480999999997</v>
      </c>
      <c r="G251" s="168"/>
      <c r="H251" s="124">
        <f>627.48523</f>
        <v>627.48523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72.119020000000006</v>
      </c>
      <c r="F252" s="190">
        <f>SUM(F249:F251)</f>
        <v>9416.8363500000014</v>
      </c>
      <c r="G252" s="190">
        <f>D252-F252</f>
        <v>1037.1636499999986</v>
      </c>
      <c r="H252" s="190">
        <f>SUM(H249:H251)</f>
        <v>8249.4454600000008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0.7926</f>
        <v>0.79259999999999997</v>
      </c>
      <c r="F294" s="77">
        <f>5503.67201</f>
        <v>5503.6720100000002</v>
      </c>
      <c r="G294" s="77"/>
      <c r="H294" s="77">
        <f>4137.31951</f>
        <v>4137.3195100000003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93.53012</f>
        <v>93.530119999999997</v>
      </c>
      <c r="F295" s="77">
        <f>3450.9735</f>
        <v>3450.9735000000001</v>
      </c>
      <c r="G295" s="77"/>
      <c r="H295" s="77">
        <f>3168.9713</f>
        <v>3168.9713000000002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0.7633</f>
        <v>0.76329999999999998</v>
      </c>
      <c r="F296" s="124">
        <f>504.55226</f>
        <v>504.55225999999999</v>
      </c>
      <c r="G296" s="168"/>
      <c r="H296" s="124">
        <f>579.31629</f>
        <v>579.31628999999998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95.086019999999991</v>
      </c>
      <c r="F297" s="190">
        <f>SUM(F294:F296)</f>
        <v>9459.1977700000007</v>
      </c>
      <c r="G297" s="190">
        <f>D297-F297</f>
        <v>-1383.1977700000007</v>
      </c>
      <c r="H297" s="190">
        <f>SUM(H294:H296)</f>
        <v>7885.6071000000002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1.56704</f>
        <v>1.56704</v>
      </c>
      <c r="F348" s="124">
        <f>549.63206</f>
        <v>549.63206000000002</v>
      </c>
      <c r="G348" s="124">
        <f>D348-F348</f>
        <v>250.36793999999998</v>
      </c>
      <c r="H348" s="124">
        <f>357.71602</f>
        <v>357.71602000000001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30.06973</f>
        <v>30.06973</v>
      </c>
      <c r="F349" s="124">
        <f>2689.88114</f>
        <v>2689.88114</v>
      </c>
      <c r="G349" s="124">
        <f>D349-F349</f>
        <v>-195.88113999999996</v>
      </c>
      <c r="H349" s="124">
        <f>1673.05936</f>
        <v>1673.05936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1.0032</f>
        <v>1.0032000000000001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0.08119</f>
        <v>8.1189999999999998E-2</v>
      </c>
      <c r="F351" s="168">
        <f>1.78973</f>
        <v>1.78973</v>
      </c>
      <c r="G351" s="124"/>
      <c r="H351" s="168">
        <f>6.86317</f>
        <v>6.8631700000000002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31.717959999999998</v>
      </c>
      <c r="F352" s="190">
        <f>SUM(F348:F351)</f>
        <v>3244.0416699999996</v>
      </c>
      <c r="G352" s="190">
        <f>D352-F352</f>
        <v>54.958330000000387</v>
      </c>
      <c r="H352" s="190">
        <f>H348+H349+H350+H351</f>
        <v>2038.6417500000002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18.175000000000001</v>
      </c>
      <c r="G378" s="251">
        <f t="shared" si="15"/>
        <v>16242.349250000001</v>
      </c>
      <c r="H378" s="251">
        <f>H382+H381+H380+H379</f>
        <v>-140.34925000000067</v>
      </c>
      <c r="I378" s="251">
        <f t="shared" si="15"/>
        <v>9336.6625700000004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0</f>
        <v>0</v>
      </c>
      <c r="G379" s="255">
        <f>9908.37411</f>
        <v>9908.3741100000007</v>
      </c>
      <c r="H379" s="255">
        <f t="shared" ref="H379:H383" si="16">E379-G379</f>
        <v>-1731.3741100000007</v>
      </c>
      <c r="I379" s="255">
        <f>6255.32887</f>
        <v>6255.3288700000003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1404.39555</f>
        <v>1404.39555</v>
      </c>
      <c r="H380" s="255">
        <f t="shared" si="16"/>
        <v>723.60445000000004</v>
      </c>
      <c r="I380" s="255">
        <f>564.91155</f>
        <v>564.91155000000003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10.7436</f>
        <v>10.743600000000001</v>
      </c>
      <c r="G381" s="255">
        <f>1869.40709</f>
        <v>1869.4070899999999</v>
      </c>
      <c r="H381" s="255">
        <f t="shared" si="16"/>
        <v>-512.40708999999993</v>
      </c>
      <c r="I381" s="255">
        <f>1589.06995</f>
        <v>1589.0699500000001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7.4314</f>
        <v>7.4314</v>
      </c>
      <c r="G382" s="255">
        <f>3060.1725</f>
        <v>3060.1725000000001</v>
      </c>
      <c r="H382" s="255">
        <f t="shared" si="16"/>
        <v>1379.8274999999999</v>
      </c>
      <c r="I382" s="255">
        <f>927.3522</f>
        <v>927.35220000000004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1.154</f>
        <v>1.1539999999999999</v>
      </c>
      <c r="G383" s="266">
        <f>5111.96628</f>
        <v>5111.9662799999996</v>
      </c>
      <c r="H383" s="266">
        <f t="shared" si="16"/>
        <v>388.03372000000036</v>
      </c>
      <c r="I383" s="266">
        <f>4570.84576</f>
        <v>4570.8457600000002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36.104990000000001</v>
      </c>
      <c r="G384" s="267">
        <f>G386+G385</f>
        <v>4148.9851200000003</v>
      </c>
      <c r="H384" s="267">
        <f>E384-G384</f>
        <v>3851.0148799999997</v>
      </c>
      <c r="I384" s="267">
        <f>I386+I385</f>
        <v>4355.5380999999998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3.9204</f>
        <v>3.9203999999999999</v>
      </c>
      <c r="G385" s="255">
        <f>864.02294</f>
        <v>864.02293999999995</v>
      </c>
      <c r="H385" s="255"/>
      <c r="I385" s="255">
        <f>1158.2507</f>
        <v>1158.2507000000001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32.18459</f>
        <v>32.18459</v>
      </c>
      <c r="G386" s="276">
        <f>3284.96218</f>
        <v>3284.96218</v>
      </c>
      <c r="H386" s="276"/>
      <c r="I386" s="276">
        <f>3197.2874</f>
        <v>3197.2874000000002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0.7485</f>
        <v>0.74850000000000005</v>
      </c>
      <c r="H387" s="266">
        <f>E387-G387</f>
        <v>9.2515000000000001</v>
      </c>
      <c r="I387" s="266">
        <f>0.4968</f>
        <v>0.49680000000000002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0.31136</f>
        <v>0.31136000000000003</v>
      </c>
      <c r="G388" s="266">
        <f>117.21218</f>
        <v>117.21218</v>
      </c>
      <c r="H388" s="266">
        <f>E388-G388</f>
        <v>-117.21218</v>
      </c>
      <c r="I388" s="266">
        <f>235.29536</f>
        <v>235.29535999999999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55.745350000000002</v>
      </c>
      <c r="G389" s="285">
        <f t="shared" si="17"/>
        <v>25621.261330000001</v>
      </c>
      <c r="H389" s="285">
        <f>H378+H383+H384+H387+H388</f>
        <v>3990.7386699999993</v>
      </c>
      <c r="I389" s="285">
        <f t="shared" si="17"/>
        <v>18498.838590000003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0</v>
      </c>
      <c r="F414" s="26">
        <f>SUM(F415:F416)</f>
        <v>1463.1168499999999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0</f>
        <v>0</v>
      </c>
      <c r="F415" s="30">
        <f>1123.27877</f>
        <v>1123.2787699999999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0</f>
        <v>0</v>
      </c>
      <c r="F416" s="30">
        <f>339.83808</f>
        <v>339.83807999999999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47.137999999999998</v>
      </c>
      <c r="F417" s="36">
        <f>SUM(F418:F419)</f>
        <v>313.62243999999998</v>
      </c>
      <c r="G417" s="87"/>
      <c r="H417" s="36">
        <f>SUM(H418:H419)</f>
        <v>683.10221999999999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32.635</f>
        <v>32.634999999999998</v>
      </c>
      <c r="F418" s="30">
        <f>231.24813</f>
        <v>231.24813</v>
      </c>
      <c r="G418" s="99"/>
      <c r="H418" s="30">
        <f>544.08898</f>
        <v>544.08897999999999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14.503</f>
        <v>14.503</v>
      </c>
      <c r="F419" s="30">
        <f>82.37431</f>
        <v>82.374309999999994</v>
      </c>
      <c r="G419" s="110"/>
      <c r="H419" s="30">
        <f>139.01324</f>
        <v>139.01324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47.137999999999998</v>
      </c>
      <c r="F421" s="42">
        <f>F411+F414+F417+F420</f>
        <v>3973.4864199999997</v>
      </c>
      <c r="G421" s="43"/>
      <c r="H421" s="42">
        <f>H411+H414+H417+H420</f>
        <v>3881.7974199999999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42&amp;R23.10.2023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2023-10-23T07:36:54Z</dcterms:modified>
</cp:coreProperties>
</file>