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FE05E3A6-951F-4833-AD1D-50B564B15A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19" i="1"/>
  <c r="F419" i="1"/>
  <c r="E419" i="1"/>
  <c r="H418" i="1"/>
  <c r="F418" i="1"/>
  <c r="E418" i="1"/>
  <c r="E417" i="1" s="1"/>
  <c r="H417" i="1"/>
  <c r="F417" i="1"/>
  <c r="H416" i="1"/>
  <c r="F416" i="1"/>
  <c r="E416" i="1"/>
  <c r="H415" i="1"/>
  <c r="F415" i="1"/>
  <c r="F414" i="1" s="1"/>
  <c r="E415" i="1"/>
  <c r="E414" i="1" s="1"/>
  <c r="H414" i="1"/>
  <c r="H413" i="1"/>
  <c r="F413" i="1"/>
  <c r="E413" i="1"/>
  <c r="H412" i="1"/>
  <c r="H411" i="1" s="1"/>
  <c r="H421" i="1" s="1"/>
  <c r="F412" i="1"/>
  <c r="F411" i="1" s="1"/>
  <c r="E412" i="1"/>
  <c r="E411" i="1" s="1"/>
  <c r="E389" i="1"/>
  <c r="I388" i="1"/>
  <c r="G388" i="1"/>
  <c r="H388" i="1" s="1"/>
  <c r="F388" i="1"/>
  <c r="I387" i="1"/>
  <c r="G387" i="1"/>
  <c r="H387" i="1" s="1"/>
  <c r="F387" i="1"/>
  <c r="I386" i="1"/>
  <c r="G386" i="1"/>
  <c r="F386" i="1"/>
  <c r="F384" i="1" s="1"/>
  <c r="I385" i="1"/>
  <c r="G385" i="1"/>
  <c r="G384" i="1" s="1"/>
  <c r="H384" i="1" s="1"/>
  <c r="F385" i="1"/>
  <c r="I384" i="1"/>
  <c r="I383" i="1"/>
  <c r="G383" i="1"/>
  <c r="H383" i="1" s="1"/>
  <c r="F383" i="1"/>
  <c r="I382" i="1"/>
  <c r="G382" i="1"/>
  <c r="H382" i="1" s="1"/>
  <c r="F382" i="1"/>
  <c r="I381" i="1"/>
  <c r="G381" i="1"/>
  <c r="G378" i="1" s="1"/>
  <c r="G389" i="1" s="1"/>
  <c r="F381" i="1"/>
  <c r="F378" i="1" s="1"/>
  <c r="I380" i="1"/>
  <c r="I378" i="1" s="1"/>
  <c r="I389" i="1" s="1"/>
  <c r="G380" i="1"/>
  <c r="H380" i="1" s="1"/>
  <c r="F380" i="1"/>
  <c r="I379" i="1"/>
  <c r="G379" i="1"/>
  <c r="H379" i="1" s="1"/>
  <c r="F379" i="1"/>
  <c r="E378" i="1"/>
  <c r="D378" i="1"/>
  <c r="D389" i="1" s="1"/>
  <c r="H370" i="1"/>
  <c r="F370" i="1"/>
  <c r="D352" i="1"/>
  <c r="H351" i="1"/>
  <c r="F351" i="1"/>
  <c r="E351" i="1"/>
  <c r="H350" i="1"/>
  <c r="F350" i="1"/>
  <c r="G350" i="1" s="1"/>
  <c r="E350" i="1"/>
  <c r="H349" i="1"/>
  <c r="F349" i="1"/>
  <c r="G349" i="1" s="1"/>
  <c r="E349" i="1"/>
  <c r="H348" i="1"/>
  <c r="H352" i="1" s="1"/>
  <c r="F348" i="1"/>
  <c r="G348" i="1" s="1"/>
  <c r="E348" i="1"/>
  <c r="E352" i="1" s="1"/>
  <c r="D341" i="1"/>
  <c r="E297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F252" i="1"/>
  <c r="G252" i="1" s="1"/>
  <c r="H251" i="1"/>
  <c r="F251" i="1"/>
  <c r="E251" i="1"/>
  <c r="H250" i="1"/>
  <c r="F250" i="1"/>
  <c r="E250" i="1"/>
  <c r="H249" i="1"/>
  <c r="H252" i="1" s="1"/>
  <c r="F249" i="1"/>
  <c r="E249" i="1"/>
  <c r="E252" i="1" s="1"/>
  <c r="H207" i="1"/>
  <c r="D207" i="1"/>
  <c r="G206" i="1"/>
  <c r="H205" i="1"/>
  <c r="G205" i="1"/>
  <c r="F205" i="1"/>
  <c r="E205" i="1"/>
  <c r="H204" i="1"/>
  <c r="F204" i="1"/>
  <c r="F207" i="1" s="1"/>
  <c r="G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 s="1"/>
  <c r="E184" i="1" s="1"/>
  <c r="H177" i="1"/>
  <c r="G177" i="1"/>
  <c r="F177" i="1"/>
  <c r="E177" i="1"/>
  <c r="H176" i="1"/>
  <c r="F176" i="1"/>
  <c r="E176" i="1"/>
  <c r="H175" i="1"/>
  <c r="H184" i="1" s="1"/>
  <c r="F175" i="1"/>
  <c r="F184" i="1" s="1"/>
  <c r="G184" i="1" s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G140" i="1"/>
  <c r="H140" i="1" s="1"/>
  <c r="H139" i="1" s="1"/>
  <c r="F140" i="1"/>
  <c r="F139" i="1" s="1"/>
  <c r="I139" i="1"/>
  <c r="G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I134" i="1"/>
  <c r="G134" i="1"/>
  <c r="G133" i="1" s="1"/>
  <c r="F134" i="1"/>
  <c r="E134" i="1"/>
  <c r="I133" i="1"/>
  <c r="E133" i="1"/>
  <c r="I132" i="1"/>
  <c r="H132" i="1"/>
  <c r="F132" i="1"/>
  <c r="H131" i="1"/>
  <c r="I130" i="1"/>
  <c r="G130" i="1"/>
  <c r="H130" i="1" s="1"/>
  <c r="F130" i="1"/>
  <c r="I129" i="1"/>
  <c r="I128" i="1" s="1"/>
  <c r="I150" i="1" s="1"/>
  <c r="G129" i="1"/>
  <c r="H129" i="1" s="1"/>
  <c r="F129" i="1"/>
  <c r="F128" i="1"/>
  <c r="E128" i="1"/>
  <c r="E150" i="1" s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G96" i="1" s="1"/>
  <c r="G95" i="1" s="1"/>
  <c r="F97" i="1"/>
  <c r="F96" i="1" s="1"/>
  <c r="F95" i="1" s="1"/>
  <c r="I96" i="1"/>
  <c r="I95" i="1" s="1"/>
  <c r="E96" i="1"/>
  <c r="E95" i="1" s="1"/>
  <c r="D96" i="1"/>
  <c r="D95" i="1"/>
  <c r="D107" i="1" s="1"/>
  <c r="I94" i="1"/>
  <c r="G94" i="1"/>
  <c r="H94" i="1" s="1"/>
  <c r="F94" i="1"/>
  <c r="I93" i="1"/>
  <c r="I92" i="1" s="1"/>
  <c r="G93" i="1"/>
  <c r="H93" i="1" s="1"/>
  <c r="F93" i="1"/>
  <c r="G92" i="1"/>
  <c r="F92" i="1"/>
  <c r="E92" i="1"/>
  <c r="E107" i="1" s="1"/>
  <c r="C89" i="1"/>
  <c r="H85" i="1"/>
  <c r="F85" i="1"/>
  <c r="D85" i="1"/>
  <c r="G61" i="1"/>
  <c r="G60" i="1"/>
  <c r="H55" i="1"/>
  <c r="I32" i="1" s="1"/>
  <c r="G55" i="1"/>
  <c r="F55" i="1"/>
  <c r="E55" i="1"/>
  <c r="E44" i="1"/>
  <c r="D44" i="1"/>
  <c r="H43" i="1"/>
  <c r="H42" i="1"/>
  <c r="H41" i="1"/>
  <c r="H40" i="1"/>
  <c r="F40" i="1"/>
  <c r="I39" i="1"/>
  <c r="H39" i="1"/>
  <c r="G39" i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F34" i="1" s="1"/>
  <c r="I35" i="1"/>
  <c r="G35" i="1"/>
  <c r="H35" i="1" s="1"/>
  <c r="F35" i="1"/>
  <c r="I33" i="1"/>
  <c r="H33" i="1"/>
  <c r="G33" i="1"/>
  <c r="F33" i="1"/>
  <c r="G32" i="1"/>
  <c r="H32" i="1" s="1"/>
  <c r="F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F28" i="1"/>
  <c r="I25" i="1"/>
  <c r="H25" i="1"/>
  <c r="G25" i="1"/>
  <c r="F25" i="1"/>
  <c r="I24" i="1"/>
  <c r="G24" i="1"/>
  <c r="G23" i="1" s="1"/>
  <c r="F24" i="1"/>
  <c r="F23" i="1" s="1"/>
  <c r="I23" i="1"/>
  <c r="H16" i="1"/>
  <c r="F16" i="1"/>
  <c r="D16" i="1"/>
  <c r="H134" i="1" l="1"/>
  <c r="H133" i="1" s="1"/>
  <c r="F27" i="1"/>
  <c r="F26" i="1" s="1"/>
  <c r="F44" i="1" s="1"/>
  <c r="I27" i="1"/>
  <c r="I34" i="1"/>
  <c r="I26" i="1" s="1"/>
  <c r="I44" i="1" s="1"/>
  <c r="G34" i="1"/>
  <c r="H34" i="1" s="1"/>
  <c r="G27" i="1"/>
  <c r="G26" i="1" s="1"/>
  <c r="G44" i="1" s="1"/>
  <c r="F389" i="1"/>
  <c r="F421" i="1"/>
  <c r="H92" i="1"/>
  <c r="H107" i="1" s="1"/>
  <c r="F133" i="1"/>
  <c r="F150" i="1" s="1"/>
  <c r="F107" i="1"/>
  <c r="E421" i="1"/>
  <c r="G107" i="1"/>
  <c r="I107" i="1"/>
  <c r="H128" i="1"/>
  <c r="H150" i="1" s="1"/>
  <c r="H24" i="1"/>
  <c r="H23" i="1" s="1"/>
  <c r="H28" i="1"/>
  <c r="H27" i="1" s="1"/>
  <c r="H26" i="1" s="1"/>
  <c r="H97" i="1"/>
  <c r="H96" i="1" s="1"/>
  <c r="H95" i="1" s="1"/>
  <c r="H381" i="1"/>
  <c r="H378" i="1" s="1"/>
  <c r="H389" i="1" s="1"/>
  <c r="G175" i="1"/>
  <c r="G204" i="1"/>
  <c r="F352" i="1"/>
  <c r="G352" i="1" s="1"/>
  <c r="G128" i="1"/>
  <c r="G150" i="1" s="1"/>
  <c r="H44" i="1" l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<sst xmlns="http://schemas.openxmlformats.org/spreadsheetml/2006/main" count="358" uniqueCount="150">
  <si>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</si>
  <si>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</si>
  <si>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</si>
  <si>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</si>
  <si>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</si>
  <si>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</si>
  <si>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</si>
  <si>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</si>
  <si>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</si>
  <si>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</si>
  <si>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</si>
  <si>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</si>
  <si>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</si>
  <si>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</si>
  <si>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</si>
  <si>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</si>
  <si>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</si>
  <si>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</si>
  <si>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</si>
  <si>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</si>
  <si>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</si>
  <si>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</si>
  <si>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</si>
  <si>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</si>
  <si>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</si>
  <si>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</si>
  <si>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</si>
  <si>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</si>
  <si>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</si>
  <si>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</si>
  <si>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</si>
  <si>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</si>
  <si>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</si>
  <si>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</si>
  <si>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</si>
  <si>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</si>
  <si>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</si>
  <si>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</si>
  <si>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</si>
  <si>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</si>
  <si>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</si>
  <si>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</si>
  <si>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</si>
  <si>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</si>
  <si>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</si>
  <si>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</si>
  <si>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</si>
  <si>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</si>
  <si>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</si>
  <si>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</si>
  <si>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</si>
  <si>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</si>
  <si>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</si>
  <si>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</si>
  <si>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</si>
  <si>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</si>
  <si>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</si>
  <si>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</si>
  <si>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</si>
  <si>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</si>
  <si>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</si>
  <si>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</si>
  <si>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</si>
  <si>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</si>
  <si>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</si>
  <si>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</si>
  <si>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</si>
  <si>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</si>
  <si>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</si>
  <si>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</si>
  <si>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</si>
  <si>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</si>
  <si>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</si>
  <si>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</si>
  <si>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</si>
  <si>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</si>
  <si>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</si>
  <si>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</si>
  <si>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</si>
  <si>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</si>
  <si>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</si>
  <si>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</si>
  <si>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</si>
  <si>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</si>
  <si>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</si>
  <si>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</si>
  <si>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</si>
  <si>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</si>
  <si>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</si>
  <si>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</si>
  <si>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</si>
  <si>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</si>
  <si>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</si>
  <si>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</si>
  <si>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</si>
  <si>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</si>
  <si>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</si>
  <si>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</si>
  <si>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</si>
  <si>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</si>
  <si>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</si>
  <si>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</si>
  <si>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</si>
  <si>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</si>
  <si>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</si>
  <si>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</si>
  <si>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</si>
  <si>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</si>
  <si>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</si>
  <si>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</si>
  <si>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</si>
  <si>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</si>
  <si>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</si>
  <si>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</si>
  <si>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</si>
  <si>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</si>
  <si>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</si>
  <si>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</si>
  <si>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</si>
  <si>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</si>
  <si>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</si>
  <si>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</si>
  <si>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</si>
  <si>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</si>
  <si>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</si>
  <si>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</si>
  <si>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</si>
  <si>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</si>
  <si>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</si>
  <si>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</si>
  <si>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</si>
  <si>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</si>
  <si>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</si>
  <si>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</si>
  <si>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</si>
  <si>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</si>
  <si>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</si>
  <si>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</si>
  <si>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</si>
  <si>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</si>
  <si>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t>Grunnet endringer i reguleringen, er fangstene ikke avregnet periodekvoter. Fangsttallene gjelder for hele 2023.</t>
  </si>
  <si>
    <t>Statistikk i henhold til ny regulering kommer på et senere tidspunkt.</t>
  </si>
  <si>
    <t>FANGST UKE 37</t>
  </si>
  <si>
    <t>FANGST T.O.M UKE 37</t>
  </si>
  <si>
    <t>RESTKVOTER UKE 37</t>
  </si>
  <si>
    <t>FANGST T.O.M UKE 37 2022</t>
  </si>
  <si>
    <r>
      <t xml:space="preserve">3 </t>
    </r>
    <r>
      <rPr>
        <sz val="9"/>
        <color indexed="8"/>
        <rFont val="Calibri"/>
        <family val="2"/>
      </rPr>
      <t>Registrert rekreasjonsfiske utgjør 700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</si>
  <si>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66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</si>
  <si>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6 508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</si>
  <si>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637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</si>
</sst>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139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554.58600000000001</v>
      </c>
      <c r="G23" s="28">
        <f t="shared" si="0"/>
        <v>56368.004460000004</v>
      </c>
      <c r="H23" s="11">
        <f t="shared" si="0"/>
        <v>30458.99554</v>
      </c>
      <c r="I23" s="11">
        <f t="shared" si="0"/>
        <v>73365.629539999994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541.8045</f>
        <v>541.80449999999996</v>
      </c>
      <c r="G24" s="23">
        <f>55952.22761</f>
        <v>55952.227610000002</v>
      </c>
      <c r="H24" s="23">
        <f>E24-G24</f>
        <v>30092.772389999998</v>
      </c>
      <c r="I24" s="23">
        <f>72965.99607</f>
        <v>72965.996069999994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12.7815</f>
        <v>12.781499999999999</v>
      </c>
      <c r="G25" s="23">
        <f>415.77685</f>
        <v>415.77685000000002</v>
      </c>
      <c r="H25" s="23">
        <f>E25-G25</f>
        <v>366.22314999999998</v>
      </c>
      <c r="I25" s="23">
        <f>399.63347</f>
        <v>399.63346999999999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720.28468999999996</v>
      </c>
      <c r="G26" s="11">
        <f t="shared" si="1"/>
        <v>176143.04624</v>
      </c>
      <c r="H26" s="11">
        <f t="shared" si="1"/>
        <v>21426.953760000004</v>
      </c>
      <c r="I26" s="11">
        <f t="shared" si="1"/>
        <v>211864.90835000001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596.05836999999997</v>
      </c>
      <c r="G27" s="134">
        <f t="shared" ref="G27:I27" si="2">G28+G29+G30+G31+G32</f>
        <v>139054.42053</v>
      </c>
      <c r="H27" s="134">
        <f t="shared" si="2"/>
        <v>13596.579470000004</v>
      </c>
      <c r="I27" s="134">
        <f t="shared" si="2"/>
        <v>172476.76347000001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80.21774</f>
        <v>80.217740000000006</v>
      </c>
      <c r="G28" s="129">
        <f>37145.6541 - F57</f>
        <v>35543.6541</v>
      </c>
      <c r="H28" s="129">
        <f t="shared" ref="H28:H40" si="3">E28-G28</f>
        <v>4005.3459000000003</v>
      </c>
      <c r="I28" s="129">
        <f>43176.72632 - H57</f>
        <v>41241.726320000002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174.6759</f>
        <v>174.67590000000001</v>
      </c>
      <c r="G29" s="129">
        <f>39291.27138 - F58</f>
        <v>36927.271379999998</v>
      </c>
      <c r="H29" s="129">
        <f t="shared" si="3"/>
        <v>3836.7286200000017</v>
      </c>
      <c r="I29" s="129">
        <f>47662.5638 - H58</f>
        <v>46001.563800000004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91.64879</f>
        <v>91.648790000000005</v>
      </c>
      <c r="G30" s="129">
        <f>37270.44106 - F59</f>
        <v>36142.441059999997</v>
      </c>
      <c r="H30" s="129">
        <f t="shared" si="3"/>
        <v>1124.5589400000026</v>
      </c>
      <c r="I30" s="129">
        <f>47519.32915 - H59</f>
        <v>46564.329149999998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24.51594</f>
        <v>24.515940000000001</v>
      </c>
      <c r="G31" s="129">
        <f>25156.05399 - F60</f>
        <v>24625.05399</v>
      </c>
      <c r="H31" s="129">
        <f t="shared" si="3"/>
        <v>781.94600999999966</v>
      </c>
      <c r="I31" s="129">
        <f>34051.1442 - H60</f>
        <v>33462.144200000002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225</v>
      </c>
      <c r="G32" s="129">
        <f>F55</f>
        <v>5816</v>
      </c>
      <c r="H32" s="129">
        <f t="shared" si="3"/>
        <v>3848</v>
      </c>
      <c r="I32" s="129">
        <f>H55</f>
        <v>5207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46.9406</f>
        <v>46.940600000000003</v>
      </c>
      <c r="G33" s="134">
        <f>15899.79023</f>
        <v>15899.790230000001</v>
      </c>
      <c r="H33" s="134">
        <f t="shared" si="3"/>
        <v>7686.2097699999995</v>
      </c>
      <c r="I33" s="134">
        <f>18617.03137</f>
        <v>18617.031370000001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77.285719999999998</v>
      </c>
      <c r="G34" s="134">
        <f>G35+G36</f>
        <v>21188.835480000002</v>
      </c>
      <c r="H34" s="134">
        <f t="shared" si="3"/>
        <v>144.16451999999845</v>
      </c>
      <c r="I34" s="134">
        <f>I35+I36</f>
        <v>20771.113509999999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46.28572</f>
        <v>46.285719999999998</v>
      </c>
      <c r="G35" s="134">
        <f>25038.83548 - F61 - F62</f>
        <v>20657.835480000002</v>
      </c>
      <c r="H35" s="129">
        <f t="shared" si="3"/>
        <v>-524.83548000000155</v>
      </c>
      <c r="I35" s="129">
        <f>21853.11351 - H61 - H62</f>
        <v>20182.113509999999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31</v>
      </c>
      <c r="G36" s="73">
        <f>F60</f>
        <v>531</v>
      </c>
      <c r="H36" s="73">
        <f t="shared" si="3"/>
        <v>669</v>
      </c>
      <c r="I36" s="73">
        <f>H60</f>
        <v>589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746.7916</f>
        <v>746.79160000000002</v>
      </c>
      <c r="H37" s="141">
        <f t="shared" si="3"/>
        <v>2253.2084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</f>
        <v>0</v>
      </c>
      <c r="G38" s="100">
        <f>488.24024</f>
        <v>488.24023999999997</v>
      </c>
      <c r="H38" s="100">
        <f t="shared" si="3"/>
        <v>362.75976000000003</v>
      </c>
      <c r="I38" s="100">
        <f>460.47613</f>
        <v>460.47613000000001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6</v>
      </c>
      <c r="G39" s="100">
        <f>F61</f>
        <v>4381</v>
      </c>
      <c r="H39" s="100">
        <f t="shared" si="3"/>
        <v>-1333</v>
      </c>
      <c r="I39" s="100">
        <f>H61</f>
        <v>1671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2.88056</f>
        <v>2.88056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1283.75425</v>
      </c>
      <c r="G44" s="78">
        <f t="shared" si="4"/>
        <v>245206.64354000002</v>
      </c>
      <c r="H44" s="78">
        <f t="shared" si="4"/>
        <v>53489.356459999981</v>
      </c>
      <c r="I44" s="78">
        <f t="shared" si="4"/>
        <v>294816.75540000002</v>
      </c>
      <c r="J44" s="242"/>
    </row>
    <row r="45" spans="1:13" ht="14.1" customHeight="1" x14ac:dyDescent="0.25">
      <c r="A45" s="101"/>
      <c r="B45" s="24"/>
      <c r="C45" s="80" t="s">
        <v>127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126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225</v>
      </c>
      <c r="F55" s="11">
        <f>F59+F58+F57+F56</f>
        <v>5816</v>
      </c>
      <c r="G55" s="299">
        <f>D55-F55</f>
        <v>4024</v>
      </c>
      <c r="H55" s="11">
        <f>H59+H58+H57+H56</f>
        <v>5207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>
        <v>48</v>
      </c>
      <c r="F56" s="129">
        <v>722</v>
      </c>
      <c r="G56" s="300"/>
      <c r="H56" s="129">
        <v>656</v>
      </c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>
        <v>106</v>
      </c>
      <c r="F57" s="129">
        <v>1602</v>
      </c>
      <c r="G57" s="300"/>
      <c r="H57" s="129">
        <v>1935</v>
      </c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>
        <v>53</v>
      </c>
      <c r="F58" s="129">
        <v>2364</v>
      </c>
      <c r="G58" s="300"/>
      <c r="H58" s="129">
        <v>1661</v>
      </c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>
        <v>18</v>
      </c>
      <c r="F59" s="194">
        <v>1128</v>
      </c>
      <c r="G59" s="301"/>
      <c r="H59" s="194">
        <v>955</v>
      </c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31</v>
      </c>
      <c r="F60" s="97">
        <v>531</v>
      </c>
      <c r="G60" s="97">
        <f>D60-F60</f>
        <v>669</v>
      </c>
      <c r="H60" s="97">
        <v>589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6</v>
      </c>
      <c r="F61" s="141">
        <v>4381</v>
      </c>
      <c r="G61" s="141">
        <f>D61-F61</f>
        <v>-1381</v>
      </c>
      <c r="H61" s="141">
        <v>1671</v>
      </c>
      <c r="I61" s="256"/>
      <c r="J61" s="242"/>
    </row>
    <row r="62" spans="1:10" ht="14.1" customHeight="1" x14ac:dyDescent="0.25">
      <c r="A62" s="101"/>
      <c r="B62" s="24"/>
      <c r="C62" s="80" t="s">
        <v>123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119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136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16.3996</v>
      </c>
      <c r="G92" s="11">
        <f t="shared" si="5"/>
        <v>39469.716229999998</v>
      </c>
      <c r="H92" s="11">
        <f t="shared" si="5"/>
        <v>-4670.7162300000009</v>
      </c>
      <c r="I92" s="11">
        <f t="shared" si="5"/>
        <v>36414.266859999996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16.3996</f>
        <v>16.3996</v>
      </c>
      <c r="G93" s="23">
        <f>38962.21224</f>
        <v>38962.212240000001</v>
      </c>
      <c r="H93" s="23">
        <f>E93-G93</f>
        <v>-4975.2122400000007</v>
      </c>
      <c r="I93" s="23">
        <f>35699.44639</f>
        <v>35699.446389999997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507.50399</f>
        <v>507.50398999999999</v>
      </c>
      <c r="H94" s="52">
        <f>E94-G94</f>
        <v>304.49601000000001</v>
      </c>
      <c r="I94" s="52">
        <f>714.82047</f>
        <v>714.82047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302.36156</v>
      </c>
      <c r="G95" s="11">
        <f t="shared" si="6"/>
        <v>28589.488990000002</v>
      </c>
      <c r="H95" s="11">
        <f t="shared" si="6"/>
        <v>30910.511010000002</v>
      </c>
      <c r="I95" s="11">
        <f t="shared" si="6"/>
        <v>33479.075219999999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210.85925</v>
      </c>
      <c r="G96" s="134">
        <f t="shared" si="7"/>
        <v>20659.62559</v>
      </c>
      <c r="H96" s="134">
        <f t="shared" si="7"/>
        <v>23831.374410000004</v>
      </c>
      <c r="I96" s="134">
        <f t="shared" si="7"/>
        <v>26277.627789999999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93.60628</f>
        <v>93.606279999999998</v>
      </c>
      <c r="G97" s="129">
        <f>3106.71329</f>
        <v>3106.7132900000001</v>
      </c>
      <c r="H97" s="129">
        <f t="shared" ref="H97:H104" si="8">E97-G97</f>
        <v>8776.986710000001</v>
      </c>
      <c r="I97" s="129">
        <f>2956.55353</f>
        <v>2956.5535300000001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82.35346</f>
        <v>82.353459999999998</v>
      </c>
      <c r="G98" s="129">
        <f>6128.4859</f>
        <v>6128.4858999999997</v>
      </c>
      <c r="H98" s="129">
        <f t="shared" si="8"/>
        <v>6536.6141000000007</v>
      </c>
      <c r="I98" s="129">
        <f>8873.68274</f>
        <v>8873.6827400000002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20.65077</f>
        <v>20.650770000000001</v>
      </c>
      <c r="G99" s="129">
        <f>6314.92498</f>
        <v>6314.9249799999998</v>
      </c>
      <c r="H99" s="129">
        <f t="shared" si="8"/>
        <v>5650.6750200000006</v>
      </c>
      <c r="I99" s="129">
        <f>7310.0856</f>
        <v>7310.0856000000003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14.24874</f>
        <v>14.24874</v>
      </c>
      <c r="G100" s="129">
        <f>5109.50142</f>
        <v>5109.5014199999996</v>
      </c>
      <c r="H100" s="129">
        <f t="shared" si="8"/>
        <v>2867.0985800000008</v>
      </c>
      <c r="I100" s="129">
        <f>7137.30592</f>
        <v>7137.3059199999998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38.1134</f>
        <v>38.113399999999999</v>
      </c>
      <c r="G101" s="134">
        <f>6375.50759</f>
        <v>6375.5075900000002</v>
      </c>
      <c r="H101" s="134">
        <f t="shared" si="8"/>
        <v>4015.4924099999998</v>
      </c>
      <c r="I101" s="134">
        <f>5892.55106</f>
        <v>5892.5510599999998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53.38891</f>
        <v>53.388910000000003</v>
      </c>
      <c r="G102" s="77">
        <f>1554.35581</f>
        <v>1554.35581</v>
      </c>
      <c r="H102" s="77">
        <f t="shared" si="8"/>
        <v>3063.64419</v>
      </c>
      <c r="I102" s="77">
        <f>1308.89637</f>
        <v>1308.8963699999999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0.09576</f>
        <v>9.5759999999999998E-2</v>
      </c>
      <c r="G103" s="100">
        <f>11.34443</f>
        <v>11.344429999999999</v>
      </c>
      <c r="H103" s="100">
        <f t="shared" si="8"/>
        <v>308.65557000000001</v>
      </c>
      <c r="I103" s="100">
        <f>22.00499</f>
        <v>22.004989999999999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0.71361</f>
        <v>0.71360999999999997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319.57053000000002</v>
      </c>
      <c r="G107" s="78">
        <f t="shared" si="9"/>
        <v>68379.317449999988</v>
      </c>
      <c r="H107" s="78">
        <f t="shared" si="9"/>
        <v>26589.682550000012</v>
      </c>
      <c r="I107" s="78">
        <f t="shared" si="9"/>
        <v>70259.081850000002</v>
      </c>
      <c r="J107" s="242"/>
    </row>
    <row r="108" spans="1:10" ht="13.5" customHeight="1" x14ac:dyDescent="0.25">
      <c r="A108" s="1"/>
      <c r="B108" s="252"/>
      <c r="C108" s="80" t="s">
        <v>125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124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119</v>
      </c>
      <c r="D113" s="226"/>
      <c r="E113" s="226"/>
      <c r="F113" s="226"/>
      <c r="G113" s="226"/>
      <c r="H113" s="226"/>
      <c r="I113" s="101"/>
      <c r="J113" s="101" t="s">
        <v>119</v>
      </c>
    </row>
    <row r="114" spans="1:10" ht="14.25" customHeight="1" x14ac:dyDescent="0.2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212994</v>
      </c>
      <c r="E119" s="102" t="s">
        <v>4</v>
      </c>
      <c r="F119" s="116">
        <v>77294</v>
      </c>
      <c r="G119" s="117" t="s">
        <v>5</v>
      </c>
      <c r="H119" s="116">
        <v>8732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79383</v>
      </c>
      <c r="G120" s="117" t="s">
        <v>8</v>
      </c>
      <c r="H120" s="119">
        <v>59537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1700</v>
      </c>
      <c r="E121" s="117" t="s">
        <v>60</v>
      </c>
      <c r="F121" s="119">
        <v>52226</v>
      </c>
      <c r="G121" s="117" t="s">
        <v>11</v>
      </c>
      <c r="H121" s="119">
        <v>11114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212994</v>
      </c>
      <c r="G123" s="180" t="s">
        <v>7</v>
      </c>
      <c r="H123" s="35">
        <v>79383</v>
      </c>
      <c r="I123" s="181"/>
      <c r="J123" s="242"/>
    </row>
    <row r="124" spans="1:10" ht="12" customHeight="1" x14ac:dyDescent="0.2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77294</v>
      </c>
      <c r="E128" s="28">
        <f t="shared" ref="E128" si="10">E129+E130+E131</f>
        <v>70707</v>
      </c>
      <c r="F128" s="11">
        <f t="shared" ref="F128:I128" si="11">F129+F130+F131</f>
        <v>1747.9219499999999</v>
      </c>
      <c r="G128" s="11">
        <f t="shared" si="11"/>
        <v>48656.888930000001</v>
      </c>
      <c r="H128" s="11">
        <f t="shared" si="11"/>
        <v>22050.111069999999</v>
      </c>
      <c r="I128" s="11">
        <f t="shared" si="11"/>
        <v>47691.621310000002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61835</v>
      </c>
      <c r="E129" s="48">
        <v>56225</v>
      </c>
      <c r="F129" s="23">
        <f>1579.74165</f>
        <v>1579.7416499999999</v>
      </c>
      <c r="G129" s="23">
        <f>43041.43138</f>
        <v>43041.431380000002</v>
      </c>
      <c r="H129" s="23">
        <f>E129-G129</f>
        <v>13183.568619999998</v>
      </c>
      <c r="I129" s="23">
        <f>40689.3959</f>
        <v>40689.395900000003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14959</v>
      </c>
      <c r="E130" s="48">
        <v>13982</v>
      </c>
      <c r="F130" s="23">
        <f>168.1803</f>
        <v>168.18029999999999</v>
      </c>
      <c r="G130" s="23">
        <f>5615.45755</f>
        <v>5615.4575500000001</v>
      </c>
      <c r="H130" s="23">
        <f>E130-G130</f>
        <v>8366.5424500000008</v>
      </c>
      <c r="I130" s="23">
        <f>7002.22541</f>
        <v>7002.22541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52226</v>
      </c>
      <c r="E132" s="93">
        <v>49285</v>
      </c>
      <c r="F132" s="97">
        <f>221.309</f>
        <v>221.309</v>
      </c>
      <c r="G132" s="97">
        <f>38101.65518+6508.18011</f>
        <v>44609.835290000003</v>
      </c>
      <c r="H132" s="97">
        <f>E132-G132</f>
        <v>4675.1647099999973</v>
      </c>
      <c r="I132" s="97">
        <f>39359.61548</f>
        <v>39359.61548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80892</v>
      </c>
      <c r="E133" s="145">
        <f>E134+E139+E142</f>
        <v>81112</v>
      </c>
      <c r="F133" s="96">
        <f>F134+F139+F142</f>
        <v>1136.7566200000001</v>
      </c>
      <c r="G133" s="96">
        <f t="shared" ref="G133" si="12">G134+G139+G142</f>
        <v>57463.001180000007</v>
      </c>
      <c r="H133" s="96">
        <f>H134+H139+H142</f>
        <v>23648.998820000001</v>
      </c>
      <c r="I133" s="96">
        <f>I134+I139+I142</f>
        <v>58185.043149999998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61046</v>
      </c>
      <c r="E134" s="125">
        <f>E135+E136+E137+E138</f>
        <v>59633</v>
      </c>
      <c r="F134" s="127">
        <f>F135+F136+F137+F138</f>
        <v>797.28342000000009</v>
      </c>
      <c r="G134" s="127">
        <f>G135+G136+G138+G137</f>
        <v>44168.075230000002</v>
      </c>
      <c r="H134" s="127">
        <f>H135+H136+H137+H138</f>
        <v>15464.924769999998</v>
      </c>
      <c r="I134" s="127">
        <f>I135+I136+I137+I138</f>
        <v>45805.18045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16203</v>
      </c>
      <c r="E135" s="65">
        <v>17538</v>
      </c>
      <c r="F135" s="129">
        <f>284.6659</f>
        <v>284.66590000000002</v>
      </c>
      <c r="G135" s="129">
        <v>7974.5479500000001</v>
      </c>
      <c r="H135" s="129">
        <f>E135-G135</f>
        <v>9563.4520499999999</v>
      </c>
      <c r="I135" s="129">
        <f>7414.75522</f>
        <v>7414.75522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16593</v>
      </c>
      <c r="E136" s="65">
        <v>15118</v>
      </c>
      <c r="F136" s="129">
        <f>274.62057</f>
        <v>274.62056999999999</v>
      </c>
      <c r="G136" s="129">
        <v>13095.758740000001</v>
      </c>
      <c r="H136" s="129">
        <f>E136-G136</f>
        <v>2022.2412599999989</v>
      </c>
      <c r="I136" s="129">
        <f>10520.80323</f>
        <v>10520.80323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15164</v>
      </c>
      <c r="E137" s="65">
        <v>15056</v>
      </c>
      <c r="F137" s="129">
        <f>157.81491</f>
        <v>157.81491</v>
      </c>
      <c r="G137" s="129">
        <v>12896.475750000001</v>
      </c>
      <c r="H137" s="129">
        <f>E137-G137</f>
        <v>2159.5242499999986</v>
      </c>
      <c r="I137" s="129">
        <f>14787.45151</f>
        <v>14787.451510000001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13085</v>
      </c>
      <c r="E138" s="65">
        <v>11921</v>
      </c>
      <c r="F138" s="129">
        <f>80.18204</f>
        <v>80.182040000000001</v>
      </c>
      <c r="G138" s="129">
        <v>10201.29279</v>
      </c>
      <c r="H138" s="129">
        <f>E138-G138</f>
        <v>1719.7072100000005</v>
      </c>
      <c r="I138" s="129">
        <f>13082.17049</f>
        <v>13082.17049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8732</v>
      </c>
      <c r="E139" s="60">
        <f>E141+E140</f>
        <v>9451</v>
      </c>
      <c r="F139" s="134">
        <f>SUM(F140:F141)</f>
        <v>67.677750000000003</v>
      </c>
      <c r="G139" s="134">
        <f>SUM(G140:G141)</f>
        <v>7015.7754099999993</v>
      </c>
      <c r="H139" s="134">
        <f>H140+H141</f>
        <v>2435.2245900000003</v>
      </c>
      <c r="I139" s="134">
        <f>SUM(I140:I141)</f>
        <v>6253.3562600000005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8232</v>
      </c>
      <c r="E140" s="65">
        <v>8951</v>
      </c>
      <c r="F140" s="129">
        <f>64.70175</f>
        <v>64.701750000000004</v>
      </c>
      <c r="G140" s="129">
        <f>6773.8928</f>
        <v>6773.8927999999996</v>
      </c>
      <c r="H140" s="129">
        <f t="shared" ref="H140:H147" si="13">E140-G140</f>
        <v>2177.1072000000004</v>
      </c>
      <c r="I140" s="129">
        <f>6003.50158</f>
        <v>6003.5015800000001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2.976</f>
        <v>2.976</v>
      </c>
      <c r="G141" s="129">
        <f>241.88261</f>
        <v>241.88261</v>
      </c>
      <c r="H141" s="129">
        <f t="shared" si="13"/>
        <v>258.11739</v>
      </c>
      <c r="I141" s="129">
        <f>249.85468</f>
        <v>249.85468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11114</v>
      </c>
      <c r="E142" s="63">
        <v>12028</v>
      </c>
      <c r="F142" s="77">
        <f>271.79545</f>
        <v>271.79545000000002</v>
      </c>
      <c r="G142" s="77">
        <f>6279.15054</f>
        <v>6279.1505399999996</v>
      </c>
      <c r="H142" s="77">
        <f t="shared" si="13"/>
        <v>5748.8494600000004</v>
      </c>
      <c r="I142" s="77">
        <f>6126.50644</f>
        <v>6126.5064400000001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0.47065</f>
        <v>0.47065000000000001</v>
      </c>
      <c r="G143" s="141">
        <f>31.4675</f>
        <v>31.467500000000001</v>
      </c>
      <c r="H143" s="141">
        <f t="shared" si="13"/>
        <v>105.5325</v>
      </c>
      <c r="I143" s="141">
        <f>23.42162</f>
        <v>23.421620000000001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3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5.78415</f>
        <v>5.7841500000000003</v>
      </c>
      <c r="G145" s="141">
        <v>2000</v>
      </c>
      <c r="H145" s="141">
        <f t="shared" si="13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3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3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4">D128+D132+D133+D143+D144+D145+D146+D147+D148</f>
        <v>212994</v>
      </c>
      <c r="E150" s="78">
        <f t="shared" si="14"/>
        <v>203686</v>
      </c>
      <c r="F150" s="78">
        <f>F128+F132+F133+F143+F144+F145+F146+F147+F148</f>
        <v>3112.2423700000004</v>
      </c>
      <c r="G150" s="78">
        <f>G128+G132+G133+G143+G144+G145+G146+G147+G148</f>
        <v>153023.7739</v>
      </c>
      <c r="H150" s="78">
        <f>H128+H132+H133+H143+H144+H145+H146+H147+H148</f>
        <v>50662.2261</v>
      </c>
      <c r="I150" s="78">
        <f>I128+I132+I133+I143+I144+I145+I146+I147+I148</f>
        <v>147566.67755999998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129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149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130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119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119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119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142</v>
      </c>
      <c r="F174" s="15" t="s">
        <v>143</v>
      </c>
      <c r="G174" s="56" t="s">
        <v>144</v>
      </c>
      <c r="H174" s="15" t="s">
        <v>145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15.40738</f>
        <v>15.40738</v>
      </c>
      <c r="F175" s="274">
        <f>1422.61499</f>
        <v>1422.61499</v>
      </c>
      <c r="G175" s="45">
        <f>D175-F175-F176</f>
        <v>1888.0129199999999</v>
      </c>
      <c r="H175" s="274">
        <f>1163.9238</f>
        <v>1163.9238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1677.37209</f>
        <v>1677.3720900000001</v>
      </c>
      <c r="G176" s="215"/>
      <c r="H176" s="154">
        <f>1418.93599</f>
        <v>1418.9359899999999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74.61014</f>
        <v>74.610140000000001</v>
      </c>
      <c r="G177" s="174">
        <f>D177-F177</f>
        <v>125.38986</v>
      </c>
      <c r="H177" s="174">
        <f>50.33974</f>
        <v>50.339739999999999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27.41366</v>
      </c>
      <c r="F178" s="183">
        <f>F179+F180+F181</f>
        <v>7966.9999100000005</v>
      </c>
      <c r="G178" s="183">
        <f>D178-F178</f>
        <v>-485.99991000000045</v>
      </c>
      <c r="H178" s="183">
        <f>H179+H180+H181</f>
        <v>7620.0838000000003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4.56794</f>
        <v>4.5679400000000001</v>
      </c>
      <c r="F179" s="129">
        <f>4154.16019</f>
        <v>4154.1601899999996</v>
      </c>
      <c r="G179" s="129"/>
      <c r="H179" s="129">
        <f>3959.43934</f>
        <v>3959.4393399999999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18.8516</f>
        <v>18.851600000000001</v>
      </c>
      <c r="F180" s="129">
        <f>2423.77983</f>
        <v>2423.7798299999999</v>
      </c>
      <c r="G180" s="129"/>
      <c r="H180" s="129">
        <f>2360.97208</f>
        <v>2360.97208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3.99412</f>
        <v>3.9941200000000001</v>
      </c>
      <c r="F181" s="194">
        <f>1389.05989</f>
        <v>1389.05989</v>
      </c>
      <c r="G181" s="194"/>
      <c r="H181" s="194">
        <f>1299.67238</f>
        <v>1299.67238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42.821039999999996</v>
      </c>
      <c r="F184" s="196">
        <f>F175+F176+F177+F178+F182+F183</f>
        <v>11141.59713</v>
      </c>
      <c r="G184" s="196">
        <f>D184-F184</f>
        <v>1593.4028699999999</v>
      </c>
      <c r="H184" s="196">
        <f>H175+H176+H177+H178+H182+H183</f>
        <v>10253.28333</v>
      </c>
      <c r="I184" s="165"/>
      <c r="J184" s="162"/>
    </row>
    <row r="185" spans="1:10" ht="42" customHeight="1" x14ac:dyDescent="0.25">
      <c r="A185" s="1"/>
      <c r="B185" s="200"/>
      <c r="C185" s="225" t="s">
        <v>131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119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119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119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132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133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134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135.56821</f>
        <v>135.56820999999999</v>
      </c>
      <c r="F204" s="124">
        <f>40080.5079</f>
        <v>40080.507899999997</v>
      </c>
      <c r="G204" s="124">
        <f>D204-F204</f>
        <v>3758.4921000000031</v>
      </c>
      <c r="H204" s="124">
        <f>35051.95235</f>
        <v>35051.95235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1.2462</f>
        <v>1.2462</v>
      </c>
      <c r="F205" s="124">
        <f>59.26875</f>
        <v>59.268749999999997</v>
      </c>
      <c r="G205" s="124">
        <f>D205-F205</f>
        <v>40.731250000000003</v>
      </c>
      <c r="H205" s="124">
        <f>55.21281</f>
        <v>55.212809999999998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136.81440999999998</v>
      </c>
      <c r="F207" s="190">
        <f>SUM(F204:F206)</f>
        <v>40139.77665</v>
      </c>
      <c r="G207" s="190">
        <f>D207-F207</f>
        <v>3841.2233500000002</v>
      </c>
      <c r="H207" s="190">
        <f>SUM(H204:H206)</f>
        <v>35107.165159999997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137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119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31.6136</f>
        <v>31.613600000000002</v>
      </c>
      <c r="F249" s="77">
        <f>3549.1553</f>
        <v>3549.1552999999999</v>
      </c>
      <c r="G249" s="77"/>
      <c r="H249" s="77">
        <f>2356.64337</f>
        <v>2356.6433699999998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60.7296</f>
        <v>60.729599999999998</v>
      </c>
      <c r="F250" s="77">
        <f>4953.65849</f>
        <v>4953.6584899999998</v>
      </c>
      <c r="G250" s="77"/>
      <c r="H250" s="77">
        <f>4449.84825</f>
        <v>4449.84825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3.4372</f>
        <v>3.4371999999999998</v>
      </c>
      <c r="F251" s="124">
        <f>528.35303</f>
        <v>528.35302999999999</v>
      </c>
      <c r="G251" s="168"/>
      <c r="H251" s="124">
        <f>553.86556</f>
        <v>553.86555999999996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95.7804</v>
      </c>
      <c r="F252" s="190">
        <f>SUM(F249:F251)</f>
        <v>9031.1668200000004</v>
      </c>
      <c r="G252" s="190">
        <f>D252-F252</f>
        <v>1422.8331799999996</v>
      </c>
      <c r="H252" s="190">
        <f>SUM(H249:H251)</f>
        <v>7360.35718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138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119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50.2474</f>
        <v>50.247399999999999</v>
      </c>
      <c r="F294" s="77">
        <f>5438.13181</f>
        <v>5438.1318099999999</v>
      </c>
      <c r="G294" s="77"/>
      <c r="H294" s="77">
        <f>3267.95555</f>
        <v>3267.9555500000001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96.30713</f>
        <v>96.307130000000001</v>
      </c>
      <c r="F295" s="77">
        <f>3095.47349</f>
        <v>3095.4734899999999</v>
      </c>
      <c r="G295" s="77"/>
      <c r="H295" s="77">
        <f>2612.16104</f>
        <v>2612.16104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2.0979</f>
        <v>2.0979000000000001</v>
      </c>
      <c r="F296" s="124">
        <f>421.33323</f>
        <v>421.33323000000001</v>
      </c>
      <c r="G296" s="168"/>
      <c r="H296" s="124">
        <f>519.81682</f>
        <v>519.81682000000001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148.65243000000001</v>
      </c>
      <c r="F297" s="190">
        <f>SUM(F294:F296)</f>
        <v>8954.9385299999994</v>
      </c>
      <c r="G297" s="190">
        <f>D297-F297</f>
        <v>-878.93852999999945</v>
      </c>
      <c r="H297" s="190">
        <f>SUM(H294:H296)</f>
        <v>6399.9334099999996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119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4.79117</f>
        <v>4.7911700000000002</v>
      </c>
      <c r="F348" s="124">
        <f>484.2395</f>
        <v>484.23950000000002</v>
      </c>
      <c r="G348" s="124">
        <f>D348-F348</f>
        <v>315.76049999999998</v>
      </c>
      <c r="H348" s="124">
        <f>290.50324</f>
        <v>290.50324000000001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37.66788</f>
        <v>37.667879999999997</v>
      </c>
      <c r="F349" s="124">
        <f>2446.6586</f>
        <v>2446.6586000000002</v>
      </c>
      <c r="G349" s="124">
        <f>D349-F349</f>
        <v>47.341399999999794</v>
      </c>
      <c r="H349" s="124">
        <f>1486.40155</f>
        <v>1486.40155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0.9582</f>
        <v>0.95820000000000005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</f>
        <v>0</v>
      </c>
      <c r="F351" s="168">
        <f>1.7076</f>
        <v>1.7076</v>
      </c>
      <c r="G351" s="124"/>
      <c r="H351" s="168">
        <f>6.78276</f>
        <v>6.7827599999999997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42.459049999999998</v>
      </c>
      <c r="F352" s="190">
        <f>SUM(F348:F351)</f>
        <v>2935.3444400000003</v>
      </c>
      <c r="G352" s="190">
        <f>D352-F352</f>
        <v>363.6555599999997</v>
      </c>
      <c r="H352" s="190">
        <f>H348+H349+H350+H351</f>
        <v>1784.6457500000001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119</v>
      </c>
    </row>
    <row r="356" spans="1:10" ht="14.1" customHeight="1" x14ac:dyDescent="0.25">
      <c r="A356" s="1" t="s">
        <v>119</v>
      </c>
    </row>
    <row r="357" spans="1:10" ht="14.1" customHeight="1" x14ac:dyDescent="0.25">
      <c r="A357" s="1" t="s">
        <v>119</v>
      </c>
    </row>
    <row r="358" spans="1:10" ht="14.1" customHeight="1" x14ac:dyDescent="0.25">
      <c r="A358" s="1"/>
      <c r="C358" s="152" t="s">
        <v>119</v>
      </c>
    </row>
    <row r="359" spans="1:10" ht="36" customHeight="1" x14ac:dyDescent="0.25">
      <c r="A359" s="1"/>
      <c r="C359" s="152" t="s">
        <v>119</v>
      </c>
    </row>
    <row r="360" spans="1:10" ht="14.1" customHeight="1" x14ac:dyDescent="0.25">
      <c r="A360" s="1"/>
      <c r="C360" s="152" t="s">
        <v>119</v>
      </c>
    </row>
    <row r="361" spans="1:10" ht="14.1" customHeight="1" x14ac:dyDescent="0.25">
      <c r="A361" s="1"/>
      <c r="C361" s="152" t="s">
        <v>119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120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142</v>
      </c>
      <c r="G377" s="221" t="s">
        <v>143</v>
      </c>
      <c r="H377" s="221" t="s">
        <v>144</v>
      </c>
      <c r="I377" s="221" t="s">
        <v>145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5">D382+D381+D380+D379</f>
        <v>13765</v>
      </c>
      <c r="E378" s="249">
        <f t="shared" si="15"/>
        <v>16102</v>
      </c>
      <c r="F378" s="251">
        <f t="shared" si="15"/>
        <v>69.728430000000003</v>
      </c>
      <c r="G378" s="251">
        <f t="shared" si="15"/>
        <v>12857.6163</v>
      </c>
      <c r="H378" s="251">
        <f>H382+H381+H380+H379</f>
        <v>3244.3837000000003</v>
      </c>
      <c r="I378" s="251">
        <f t="shared" si="15"/>
        <v>6234.4341599999998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0</f>
        <v>0</v>
      </c>
      <c r="G379" s="255">
        <f>7008.48543</f>
        <v>7008.4854299999997</v>
      </c>
      <c r="H379" s="255">
        <f t="shared" ref="H379:H383" si="16">E379-G379</f>
        <v>1168.5145700000003</v>
      </c>
      <c r="I379" s="255">
        <f>3618.21597</f>
        <v>3618.2159700000002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1408.0095</f>
        <v>1408.0094999999999</v>
      </c>
      <c r="H380" s="255">
        <f t="shared" si="16"/>
        <v>719.99050000000011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16.53023</f>
        <v>16.53023</v>
      </c>
      <c r="G381" s="255">
        <f>1703.58007</f>
        <v>1703.58007</v>
      </c>
      <c r="H381" s="255">
        <f t="shared" si="16"/>
        <v>-346.58006999999998</v>
      </c>
      <c r="I381" s="255">
        <f>1338.81799</f>
        <v>1338.81799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53.1982</f>
        <v>53.1982</v>
      </c>
      <c r="G382" s="255">
        <f>2737.5413</f>
        <v>2737.5412999999999</v>
      </c>
      <c r="H382" s="255">
        <f t="shared" si="16"/>
        <v>1702.4587000000001</v>
      </c>
      <c r="I382" s="255">
        <f>786.9884</f>
        <v>786.98839999999996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1.226</f>
        <v>1.226</v>
      </c>
      <c r="G383" s="266">
        <f>5108.15528</f>
        <v>5108.1552799999999</v>
      </c>
      <c r="H383" s="266">
        <f t="shared" si="16"/>
        <v>391.84472000000005</v>
      </c>
      <c r="I383" s="266">
        <f>4547.30068</f>
        <v>4547.3006800000003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184.95400000000001</v>
      </c>
      <c r="G384" s="267">
        <f>G386+G385</f>
        <v>3554.77214</v>
      </c>
      <c r="H384" s="267">
        <f>E384-G384</f>
        <v>4445.22786</v>
      </c>
      <c r="I384" s="267">
        <f>I386+I385</f>
        <v>3516.8679999999999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0</f>
        <v>0</v>
      </c>
      <c r="G385" s="255">
        <f>858.81005</f>
        <v>858.81005000000005</v>
      </c>
      <c r="H385" s="255"/>
      <c r="I385" s="255">
        <f>1144.54655</f>
        <v>1144.54655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184.954</f>
        <v>184.95400000000001</v>
      </c>
      <c r="G386" s="276">
        <f>2695.96209</f>
        <v>2695.96209</v>
      </c>
      <c r="H386" s="276"/>
      <c r="I386" s="276">
        <f>2372.32145</f>
        <v>2372.3214499999999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0.39555</f>
        <v>0.39555000000000001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1.93932</f>
        <v>1.9393199999999999</v>
      </c>
      <c r="G388" s="266">
        <f>117.3263</f>
        <v>117.3263</v>
      </c>
      <c r="H388" s="266">
        <f>E388-G388</f>
        <v>-117.3263</v>
      </c>
      <c r="I388" s="266">
        <f>232.16765</f>
        <v>232.16765000000001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7">F378+F383+F384+F387+F388</f>
        <v>257.84775000000002</v>
      </c>
      <c r="G389" s="285">
        <f t="shared" si="17"/>
        <v>21637.943520000001</v>
      </c>
      <c r="H389" s="285">
        <f>H378+H383+H384+H387+H388</f>
        <v>7974.0564800000002</v>
      </c>
      <c r="I389" s="285">
        <f t="shared" si="17"/>
        <v>14531.16604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121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122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119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119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119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6</v>
      </c>
      <c r="D401" s="268"/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/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/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/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/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/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2"/>
      <c r="J410" s="13"/>
    </row>
    <row r="411" spans="1:10" ht="14.1" customHeight="1" x14ac:dyDescent="0.25">
      <c r="A411" s="216"/>
      <c r="B411" s="74"/>
      <c r="C411" s="263" t="s">
        <v>116</v>
      </c>
      <c r="D411" s="10"/>
      <c r="E411" s="26">
        <f>E413+E412</f>
        <v>0</v>
      </c>
      <c r="F411" s="26">
        <f>F413+F412</f>
        <v>2196.7471299999997</v>
      </c>
      <c r="G411" s="87"/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483.472</f>
        <v>483.47199999999998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117</v>
      </c>
      <c r="D414" s="10"/>
      <c r="E414" s="26">
        <f>SUM(E415:E416)</f>
        <v>0</v>
      </c>
      <c r="F414" s="26">
        <f>SUM(F415:F416)</f>
        <v>1463.1578500000001</v>
      </c>
      <c r="G414" s="87"/>
      <c r="H414" s="26">
        <f>SUM(H415:H416)</f>
        <v>1811.0628700000002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0</f>
        <v>0</v>
      </c>
      <c r="F415" s="30">
        <f>1123.31977</f>
        <v>1123.3197700000001</v>
      </c>
      <c r="G415" s="99"/>
      <c r="H415" s="30">
        <f>1413.4299</f>
        <v>1413.4299000000001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0</f>
        <v>0</v>
      </c>
      <c r="F416" s="30">
        <f>339.83808</f>
        <v>339.83807999999999</v>
      </c>
      <c r="G416" s="110"/>
      <c r="H416" s="30">
        <f>397.63297</f>
        <v>397.63297</v>
      </c>
      <c r="I416" s="152"/>
      <c r="J416" s="132"/>
    </row>
    <row r="417" spans="1:10" ht="14.1" customHeight="1" x14ac:dyDescent="0.25">
      <c r="A417" s="216"/>
      <c r="B417" s="74"/>
      <c r="C417" s="263" t="s">
        <v>118</v>
      </c>
      <c r="D417" s="10"/>
      <c r="E417" s="36">
        <f>SUM(E418:E419)</f>
        <v>41.03248</v>
      </c>
      <c r="F417" s="36">
        <f>SUM(F418:F419)</f>
        <v>94.288990000000013</v>
      </c>
      <c r="G417" s="87"/>
      <c r="H417" s="36">
        <f>SUM(H418:H419)</f>
        <v>239.2448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33.80648</f>
        <v>33.806480000000001</v>
      </c>
      <c r="F418" s="30">
        <f>73.32098</f>
        <v>73.320980000000006</v>
      </c>
      <c r="G418" s="99"/>
      <c r="H418" s="30">
        <f>195.99148</f>
        <v>195.99148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7.226</f>
        <v>7.226</v>
      </c>
      <c r="F419" s="30">
        <f>20.96801</f>
        <v>20.96801</v>
      </c>
      <c r="G419" s="110"/>
      <c r="H419" s="30">
        <f>43.25332</f>
        <v>43.253320000000002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/>
      <c r="E421" s="42">
        <f>E411+E414+E417+E420</f>
        <v>41.03248</v>
      </c>
      <c r="F421" s="42">
        <f>F411+F414+F417+F420</f>
        <v>3754.1939699999998</v>
      </c>
      <c r="G421" s="43"/>
      <c r="H421" s="42">
        <f>H411+H414+H417+H420</f>
        <v>3437.94</v>
      </c>
      <c r="I421" s="27"/>
      <c r="J421" s="132"/>
    </row>
    <row r="422" spans="1:10" ht="18.75" customHeight="1" x14ac:dyDescent="0.25">
      <c r="A422" s="216"/>
      <c r="B422" s="74"/>
      <c r="C422" s="152" t="s">
        <v>140</v>
      </c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 t="s">
        <v>141</v>
      </c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37&amp;R18.09.2023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2023-09-18T08:09:02Z</dcterms:modified>
</cp:coreProperties>
</file>