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almal\03 - Ukestatistikk\Excel\2021\Uke 42\"/>
    </mc:Choice>
  </mc:AlternateContent>
  <bookViews>
    <workbookView xWindow="0" yWindow="0" windowWidth="19200" windowHeight="7050" tabRatio="374"/>
  </bookViews>
  <sheets>
    <sheet name="UKE_42_2021" sheetId="1" r:id="rId1"/>
  </sheets>
  <definedNames>
    <definedName name="Z_14D440E4_F18A_4F78_9989_38C1B133222D_.wvu.Cols" localSheetId="0" hidden="1">UKE_42_2021!#REF!</definedName>
    <definedName name="Z_14D440E4_F18A_4F78_9989_38C1B133222D_.wvu.PrintArea" localSheetId="0" hidden="1">UKE_42_2021!$B$1:$J$344</definedName>
    <definedName name="Z_14D440E4_F18A_4F78_9989_38C1B133222D_.wvu.Rows" localSheetId="0" hidden="1">UKE_42_2021!#REF!,UKE_42_2021!#REF!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H110" i="1" l="1"/>
  <c r="H111" i="1"/>
  <c r="H112" i="1"/>
  <c r="H113" i="1"/>
  <c r="I39" i="1" l="1"/>
  <c r="H31" i="1" l="1"/>
  <c r="H30" i="1"/>
  <c r="H29" i="1"/>
  <c r="H28" i="1"/>
  <c r="I23" i="1" l="1"/>
  <c r="H53" i="1"/>
  <c r="D108" i="1" l="1"/>
  <c r="H114" i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H106" i="1"/>
  <c r="H107" i="1"/>
  <c r="D109" i="1"/>
  <c r="E109" i="1"/>
  <c r="E108" i="1" s="1"/>
  <c r="E120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I162" i="1" s="1"/>
  <c r="H144" i="1"/>
  <c r="H145" i="1"/>
  <c r="D147" i="1"/>
  <c r="E147" i="1"/>
  <c r="E146" i="1" s="1"/>
  <c r="E162" i="1" s="1"/>
  <c r="F147" i="1"/>
  <c r="F146" i="1" s="1"/>
  <c r="G147" i="1"/>
  <c r="G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F162" i="1" l="1"/>
  <c r="G162" i="1"/>
  <c r="D146" i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<sst xmlns="http://schemas.openxmlformats.org/spreadsheetml/2006/main" count="265" uniqueCount="143">
  <si>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</si>
  <si>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</si>
  <si>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</si>
  <si>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</si>
  <si>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</si>
  <si>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</si>
  <si>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</si>
  <si>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</si>
  <si>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</si>
  <si>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</si>
  <si>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</si>
  <si>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</si>
  <si>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</si>
  <si>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</si>
  <si>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</si>
  <si>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</si>
  <si>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</si>
  <si>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</si>
  <si>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</si>
  <si>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</si>
  <si>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</si>
  <si>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</si>
  <si>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</si>
  <si>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</si>
  <si>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</si>
  <si>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</si>
  <si>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</si>
  <si>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</si>
  <si>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</si>
  <si>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</si>
  <si>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</si>
  <si>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</si>
  <si>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</si>
  <si>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</si>
  <si>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</si>
  <si>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</si>
  <si>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</si>
  <si>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</si>
  <si>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</si>
  <si>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</si>
  <si>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</si>
  <si>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</si>
  <si>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</si>
  <si>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</si>
  <si>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</si>
  <si>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</si>
  <si>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</si>
  <si>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</si>
  <si>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</si>
  <si>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</si>
  <si>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</si>
  <si>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</si>
  <si>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</si>
  <si>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</si>
  <si>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</si>
  <si>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</si>
  <si>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</si>
  <si>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</si>
  <si>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</si>
  <si>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</si>
  <si>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</si>
  <si>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</si>
  <si>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</si>
  <si>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</si>
  <si>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</si>
  <si>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</si>
  <si>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</si>
  <si>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</si>
  <si>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</si>
  <si>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</si>
  <si>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</si>
  <si>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</si>
  <si>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</si>
  <si>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</si>
  <si>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</si>
  <si>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</si>
  <si>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</si>
  <si>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</si>
  <si>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</si>
  <si>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</si>
  <si>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</si>
  <si>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</si>
  <si>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</si>
  <si>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</si>
  <si>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</si>
  <si>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</si>
  <si>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</si>
  <si>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</si>
  <si>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</si>
  <si>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</si>
  <si>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</si>
  <si>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</si>
  <si>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</si>
  <si>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</si>
  <si>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</si>
  <si>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</si>
  <si>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</si>
  <si>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</si>
  <si>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</si>
  <si>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</si>
  <si>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</si>
  <si>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</si>
  <si>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</si>
  <si>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</si>
  <si>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</si>
  <si>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</si>
  <si>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</si>
  <si>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</si>
  <si>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</si>
  <si>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</si>
  <si>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</si>
  <si>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</si>
  <si>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</si>
  <si>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</si>
  <si>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</si>
  <si>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</si>
  <si>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</si>
  <si>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</si>
  <si>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</si>
  <si>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</si>
  <si>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</si>
  <si>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</si>
  <si>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</si>
  <si>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</si>
  <si>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</si>
  <si>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</si>
  <si>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</si>
  <si>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</si>
  <si>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</si>
  <si>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</si>
  <si>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</si>
  <si>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</si>
  <si>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</si>
  <si>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</si>
  <si>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</si>
  <si>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51 tonn, men det legges til grunn at hele avsetningen tas</t>
    </r>
  </si>
  <si>
    <t>FANGST UKE 42</t>
  </si>
  <si>
    <t>FANGST T.O.M UKE 42</t>
  </si>
  <si>
    <t>RESTKVOTER UKE 42</t>
  </si>
  <si>
    <t>FANGST T.O.M. UKE 42 2020</t>
  </si>
  <si>
    <r>
      <t>3</t>
    </r>
    <r>
      <rPr>
        <sz val="9"/>
        <color indexed="8"/>
        <rFont val="Calibri"/>
        <family val="2"/>
      </rPr>
      <t xml:space="preserve"> Det er fisket 6 319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</si>
  <si>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564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</si>
  <si>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954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</si>
</sst>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275" zoomScale="85" zoomScaleNormal="110" zoomScaleSheetLayoutView="100" zoomScalePageLayoutView="85" workbookViewId="0">
      <selection activeCell="G117" sqref="G117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398" t="s">
        <v>133</v>
      </c>
      <c r="C2" s="399"/>
      <c r="D2" s="399"/>
      <c r="E2" s="399"/>
      <c r="F2" s="399"/>
      <c r="G2" s="399"/>
      <c r="H2" s="399"/>
      <c r="I2" s="399"/>
      <c r="J2" s="400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01"/>
      <c r="C9" s="402"/>
      <c r="D9" s="402"/>
      <c r="E9" s="402"/>
      <c r="F9" s="402"/>
      <c r="G9" s="402"/>
      <c r="H9" s="402"/>
      <c r="I9" s="402"/>
      <c r="J9" s="403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394" t="s">
        <v>1</v>
      </c>
      <c r="D11" s="395"/>
      <c r="E11" s="394" t="s">
        <v>18</v>
      </c>
      <c r="F11" s="395"/>
      <c r="G11" s="394" t="s">
        <v>19</v>
      </c>
      <c r="H11" s="395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4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35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35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130454</v>
      </c>
      <c r="F23" s="172">
        <f t="shared" si="0"/>
        <v>390.55680000000001</v>
      </c>
      <c r="G23" s="172">
        <f t="shared" si="0"/>
        <v>72799.881540000002</v>
      </c>
      <c r="H23" s="172">
        <f t="shared" si="0"/>
        <v>57654.118459999998</v>
      </c>
      <c r="I23" s="172">
        <f t="shared" si="0"/>
        <v>74124.340649999998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129722</v>
      </c>
      <c r="F24" s="173">
        <v>381.26130000000001</v>
      </c>
      <c r="G24" s="173">
        <v>72341.67684</v>
      </c>
      <c r="H24" s="173">
        <f>E24-G24</f>
        <v>57380.32316</v>
      </c>
      <c r="I24" s="173">
        <v>73625.821110000004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>
        <v>9.2955000000000005</v>
      </c>
      <c r="G25" s="173">
        <v>458.2047</v>
      </c>
      <c r="H25" s="173">
        <f>E25-G25</f>
        <v>273.7953</v>
      </c>
      <c r="I25" s="173">
        <v>498.51954000000001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281832</v>
      </c>
      <c r="F26" s="172">
        <f t="shared" si="1"/>
        <v>1114.45172</v>
      </c>
      <c r="G26" s="172">
        <f t="shared" si="1"/>
        <v>224868.50512099994</v>
      </c>
      <c r="H26" s="172">
        <f t="shared" si="1"/>
        <v>56963.494879000093</v>
      </c>
      <c r="I26" s="172">
        <f t="shared" si="1"/>
        <v>198546.43450999999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220475</v>
      </c>
      <c r="F27" s="175">
        <f t="shared" si="2"/>
        <v>628.11570000000006</v>
      </c>
      <c r="G27" s="175">
        <f t="shared" si="2"/>
        <v>185108.15031099992</v>
      </c>
      <c r="H27" s="175">
        <f t="shared" si="2"/>
        <v>35366.849689000097</v>
      </c>
      <c r="I27" s="175">
        <f t="shared" si="2"/>
        <v>156862.67996000001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52698</v>
      </c>
      <c r="F28" s="176">
        <f>95.51014-E55</f>
        <v>30.510140000000007</v>
      </c>
      <c r="G28" s="176">
        <f>44561.6154899999-F55</f>
        <v>42808.615489999902</v>
      </c>
      <c r="H28" s="176">
        <f t="shared" ref="H28:H34" si="3">E28-G28</f>
        <v>9889.3845100000981</v>
      </c>
      <c r="I28" s="176">
        <f>40181.42719-H55</f>
        <v>37794.427190000002</v>
      </c>
      <c r="J28" s="392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58236</v>
      </c>
      <c r="F29" s="176">
        <f>292.29098-E56</f>
        <v>117.29097999999999</v>
      </c>
      <c r="G29" s="176">
        <f>53913.59205-F56</f>
        <v>50867.592049999999</v>
      </c>
      <c r="H29" s="176">
        <f t="shared" si="3"/>
        <v>7368.4079500000007</v>
      </c>
      <c r="I29" s="176">
        <f>42258.87912-H56</f>
        <v>39012.879119999998</v>
      </c>
      <c r="J29" s="392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54234</v>
      </c>
      <c r="F30" s="176">
        <f>195.16829-E57</f>
        <v>116.16829000000001</v>
      </c>
      <c r="G30" s="176">
        <f>48163.945779-F57</f>
        <v>44388.945779000001</v>
      </c>
      <c r="H30" s="176">
        <f t="shared" si="3"/>
        <v>9845.0542209999985</v>
      </c>
      <c r="I30" s="176">
        <f>44750.18304-H57</f>
        <v>40735.183040000004</v>
      </c>
      <c r="J30" s="392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40037</v>
      </c>
      <c r="F31" s="176">
        <f>45.14629-E58</f>
        <v>4.1462900000000005</v>
      </c>
      <c r="G31" s="176">
        <f>38468.996992-F58</f>
        <v>36625.996992</v>
      </c>
      <c r="H31" s="176">
        <f t="shared" si="3"/>
        <v>3411.0030079999997</v>
      </c>
      <c r="I31" s="176">
        <f>29672.19061-H58</f>
        <v>27559.190610000001</v>
      </c>
      <c r="J31" s="392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360</v>
      </c>
      <c r="G32" s="176">
        <f>F54</f>
        <v>10417</v>
      </c>
      <c r="H32" s="176">
        <f t="shared" si="3"/>
        <v>4853</v>
      </c>
      <c r="I32" s="176">
        <f>H54</f>
        <v>11761</v>
      </c>
      <c r="J32" s="392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35000</v>
      </c>
      <c r="F33" s="175">
        <v>440.80950000000001</v>
      </c>
      <c r="G33" s="175">
        <v>21340.311570000002</v>
      </c>
      <c r="H33" s="175">
        <f t="shared" si="3"/>
        <v>13659.688429999998</v>
      </c>
      <c r="I33" s="175">
        <v>20721.752110000001</v>
      </c>
      <c r="J33" s="392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45.526519999999998</v>
      </c>
      <c r="G34" s="175">
        <f>G35+G36</f>
        <v>18420.043239999999</v>
      </c>
      <c r="H34" s="175">
        <f t="shared" si="3"/>
        <v>7936.9567600000009</v>
      </c>
      <c r="I34" s="175">
        <f>I35+I36</f>
        <v>20962.00244</v>
      </c>
      <c r="J34" s="392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1">
        <v>24487</v>
      </c>
      <c r="F35" s="176">
        <f>45.52652-E59-E60</f>
        <v>46.526519999999998</v>
      </c>
      <c r="G35" s="176">
        <f>21511.04324-F59-F60</f>
        <v>17291.043239999999</v>
      </c>
      <c r="H35" s="176">
        <f t="shared" ref="H35:H42" si="4">E35-G35</f>
        <v>7195.9567600000009</v>
      </c>
      <c r="I35" s="176">
        <f>24060.00244-H59-H60</f>
        <v>19484.00244</v>
      </c>
      <c r="J35" s="392"/>
    </row>
    <row r="36" spans="1:13" ht="14.15" customHeight="1" thickBot="1" x14ac:dyDescent="0.4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-1</v>
      </c>
      <c r="G36" s="271">
        <f>F59</f>
        <v>1129</v>
      </c>
      <c r="H36" s="271">
        <f t="shared" si="4"/>
        <v>741</v>
      </c>
      <c r="I36" s="271">
        <f>H59</f>
        <v>1478</v>
      </c>
      <c r="J36" s="392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1305.377999</v>
      </c>
      <c r="H37" s="179">
        <f t="shared" si="4"/>
        <v>1194.622001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8">
        <v>969</v>
      </c>
      <c r="F38" s="391"/>
      <c r="G38" s="391">
        <v>494.58620000000002</v>
      </c>
      <c r="H38" s="388">
        <f t="shared" si="4"/>
        <v>474.41379999999998</v>
      </c>
      <c r="I38" s="391">
        <v>500.61318999999997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0</v>
      </c>
      <c r="G39" s="391">
        <f>F60</f>
        <v>3091</v>
      </c>
      <c r="H39" s="388">
        <f t="shared" si="4"/>
        <v>785</v>
      </c>
      <c r="I39" s="391">
        <f>H60</f>
        <v>3098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1">
        <v>3.58562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1">
        <v>269.71499999999997</v>
      </c>
      <c r="G41" s="391">
        <v>2836.2392</v>
      </c>
      <c r="H41" s="388">
        <f t="shared" si="4"/>
        <v>3413.7608</v>
      </c>
      <c r="I41" s="391"/>
      <c r="J41" s="61"/>
      <c r="M41" s="378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1">
        <v>0.11600000000021282</v>
      </c>
      <c r="G42" s="391">
        <v>90.263129999977536</v>
      </c>
      <c r="H42" s="388">
        <f t="shared" si="4"/>
        <v>-90.263129999977536</v>
      </c>
      <c r="I42" s="391">
        <v>146.51808000000892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432881</v>
      </c>
      <c r="F43" s="381">
        <f t="shared" si="5"/>
        <v>1778.4251400000003</v>
      </c>
      <c r="G43" s="381">
        <f t="shared" si="5"/>
        <v>312485.85318999999</v>
      </c>
      <c r="H43" s="188">
        <f t="shared" si="5"/>
        <v>120395.14681000011</v>
      </c>
      <c r="I43" s="381">
        <f t="shared" si="5"/>
        <v>284554.09907999996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35">
      <c r="A51" s="8"/>
      <c r="B51" s="55"/>
      <c r="C51" s="393" t="s">
        <v>126</v>
      </c>
      <c r="D51" s="393"/>
      <c r="E51" s="393"/>
      <c r="F51" s="393"/>
      <c r="G51" s="393"/>
      <c r="H51" s="393"/>
      <c r="I51" s="279"/>
      <c r="J51" s="281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2" t="s">
        <v>17</v>
      </c>
      <c r="D53" s="167" t="s">
        <v>124</v>
      </c>
      <c r="E53" s="167" t="str">
        <f>F22</f>
        <v>FANGST UKE 42</v>
      </c>
      <c r="F53" s="167" t="str">
        <f>G22</f>
        <v>FANGST T.O.M UKE 42</v>
      </c>
      <c r="G53" s="167" t="str">
        <f>H22</f>
        <v>RESTKVOTER UKE 42</v>
      </c>
      <c r="H53" s="167" t="str">
        <f>I22</f>
        <v>FANGST T.O.M. UKE 42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6">
        <v>15270</v>
      </c>
      <c r="E54" s="172">
        <f>E58+E57+E56+E55</f>
        <v>360</v>
      </c>
      <c r="F54" s="172">
        <f>F58+F57+F56+F55</f>
        <v>10417</v>
      </c>
      <c r="G54" s="406">
        <f>D54-F54</f>
        <v>4853</v>
      </c>
      <c r="H54" s="172">
        <f>H58+H57+H56+H55</f>
        <v>11761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7"/>
      <c r="E55" s="176">
        <v>65</v>
      </c>
      <c r="F55" s="176">
        <v>1753</v>
      </c>
      <c r="G55" s="407"/>
      <c r="H55" s="176">
        <v>2387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7"/>
      <c r="E56" s="176">
        <v>175</v>
      </c>
      <c r="F56" s="176">
        <v>3046</v>
      </c>
      <c r="G56" s="407"/>
      <c r="H56" s="176">
        <v>3246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7"/>
      <c r="E57" s="176">
        <v>79</v>
      </c>
      <c r="F57" s="176">
        <v>3775</v>
      </c>
      <c r="G57" s="407"/>
      <c r="H57" s="176">
        <v>4015</v>
      </c>
      <c r="I57" s="64"/>
      <c r="J57" s="61"/>
    </row>
    <row r="58" spans="1:10" ht="14.15" customHeight="1" thickBot="1" x14ac:dyDescent="0.4">
      <c r="A58" s="8"/>
      <c r="B58" s="55"/>
      <c r="C58" s="280" t="s">
        <v>69</v>
      </c>
      <c r="D58" s="408"/>
      <c r="E58" s="177">
        <v>41</v>
      </c>
      <c r="F58" s="177">
        <v>1843</v>
      </c>
      <c r="G58" s="408"/>
      <c r="H58" s="177">
        <v>2113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3">
        <v>1870</v>
      </c>
      <c r="E59" s="390">
        <v>-1</v>
      </c>
      <c r="F59" s="390">
        <v>1129</v>
      </c>
      <c r="G59" s="283">
        <f>D59-F59</f>
        <v>741</v>
      </c>
      <c r="H59" s="390">
        <v>1478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0</v>
      </c>
      <c r="F60" s="179">
        <v>3091</v>
      </c>
      <c r="G60" s="179">
        <f>D60-F60</f>
        <v>742</v>
      </c>
      <c r="H60" s="179">
        <v>3098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8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394" t="s">
        <v>1</v>
      </c>
      <c r="D94" s="395"/>
      <c r="E94" s="394" t="s">
        <v>18</v>
      </c>
      <c r="F94" s="412"/>
      <c r="G94" s="394" t="s">
        <v>19</v>
      </c>
      <c r="H94" s="395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5" customHeight="1" thickBot="1" x14ac:dyDescent="0.4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35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45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42</v>
      </c>
      <c r="G104" s="108" t="str">
        <f>G22</f>
        <v>FANGST T.O.M UKE 42</v>
      </c>
      <c r="H104" s="108" t="str">
        <f>H22</f>
        <v>RESTKVOTER UKE 42</v>
      </c>
      <c r="I104" s="108" t="str">
        <f>I22</f>
        <v>FANGST T.O.M. UKE 42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134.94012000000001</v>
      </c>
      <c r="G105" s="172">
        <f t="shared" si="6"/>
        <v>44348.823329999999</v>
      </c>
      <c r="H105" s="172">
        <f t="shared" si="6"/>
        <v>3097.1766699999985</v>
      </c>
      <c r="I105" s="172">
        <f t="shared" si="6"/>
        <v>28345.543249999999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46621</v>
      </c>
      <c r="F106" s="173">
        <v>133.18592000000001</v>
      </c>
      <c r="G106" s="173">
        <v>43616.153310000002</v>
      </c>
      <c r="H106" s="173">
        <f>E106-G106</f>
        <v>3004.8466899999985</v>
      </c>
      <c r="I106" s="173">
        <v>28095.91905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>
        <v>1.7542</v>
      </c>
      <c r="G107" s="174">
        <v>732.67002000000002</v>
      </c>
      <c r="H107" s="174">
        <f>E107-G107</f>
        <v>92.329979999999978</v>
      </c>
      <c r="I107" s="174">
        <v>249.6242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76252</v>
      </c>
      <c r="F108" s="172">
        <f t="shared" si="7"/>
        <v>460.30414999999994</v>
      </c>
      <c r="G108" s="172">
        <f t="shared" si="7"/>
        <v>39717.181210000002</v>
      </c>
      <c r="H108" s="172">
        <f t="shared" si="7"/>
        <v>36534.818789999998</v>
      </c>
      <c r="I108" s="172">
        <f t="shared" si="7"/>
        <v>45534.636749999998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354.95650999999998</v>
      </c>
      <c r="G109" s="175">
        <f t="shared" si="8"/>
        <v>31933.884380000003</v>
      </c>
      <c r="H109" s="175">
        <f t="shared" si="8"/>
        <v>26303.115619999997</v>
      </c>
      <c r="I109" s="175">
        <f t="shared" si="8"/>
        <v>35360.753940000002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15834</v>
      </c>
      <c r="F110" s="176">
        <v>90.538589999999999</v>
      </c>
      <c r="G110" s="176">
        <v>4176.1426300000003</v>
      </c>
      <c r="H110" s="176">
        <f>E110-G110</f>
        <v>11657.85737</v>
      </c>
      <c r="I110" s="176">
        <v>5593.06657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16205</v>
      </c>
      <c r="F111" s="176">
        <v>127.16199</v>
      </c>
      <c r="G111" s="176">
        <v>10400.145270000001</v>
      </c>
      <c r="H111" s="176">
        <f t="shared" ref="H111:H119" si="9">E111-G111</f>
        <v>5804.8547299999991</v>
      </c>
      <c r="I111" s="176">
        <v>10332.528060000001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16580</v>
      </c>
      <c r="F112" s="176">
        <v>115.81654</v>
      </c>
      <c r="G112" s="176">
        <v>11159.342049999999</v>
      </c>
      <c r="H112" s="176">
        <f t="shared" si="9"/>
        <v>5420.6579500000007</v>
      </c>
      <c r="I112" s="176">
        <v>11214.60218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9618</v>
      </c>
      <c r="F113" s="176">
        <v>21.43939</v>
      </c>
      <c r="G113" s="176">
        <v>6198.25443</v>
      </c>
      <c r="H113" s="176">
        <f t="shared" si="9"/>
        <v>3419.74557</v>
      </c>
      <c r="I113" s="176">
        <v>8220.5571299999992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11822</v>
      </c>
      <c r="F114" s="175">
        <v>54.4054</v>
      </c>
      <c r="G114" s="175">
        <v>6123.3771399999996</v>
      </c>
      <c r="H114" s="175">
        <f>E114-G114</f>
        <v>5698.6228600000004</v>
      </c>
      <c r="I114" s="175">
        <v>8566.4271499999995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6193</v>
      </c>
      <c r="F115" s="198">
        <v>50.942239999999998</v>
      </c>
      <c r="G115" s="198">
        <v>1659.9196899999999</v>
      </c>
      <c r="H115" s="198">
        <f t="shared" si="9"/>
        <v>4533.0803100000003</v>
      </c>
      <c r="I115" s="198">
        <v>1607.4556600000001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80">
        <v>379</v>
      </c>
      <c r="F116" s="391"/>
      <c r="G116" s="391">
        <v>35.20317</v>
      </c>
      <c r="H116" s="388">
        <f t="shared" si="9"/>
        <v>343.79683</v>
      </c>
      <c r="I116" s="391">
        <v>12.40354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0.2072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>
        <v>42.953400000000002</v>
      </c>
      <c r="G118" s="179">
        <v>228.26300000000001</v>
      </c>
      <c r="H118" s="179">
        <f t="shared" si="9"/>
        <v>2771.7370000000001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0</v>
      </c>
      <c r="G119" s="179">
        <v>59.006550000005518</v>
      </c>
      <c r="H119" s="179">
        <f t="shared" si="9"/>
        <v>-59.006550000005518</v>
      </c>
      <c r="I119" s="179">
        <v>171.98180999999749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1">
        <f t="shared" si="10"/>
        <v>638.40486999999985</v>
      </c>
      <c r="G120" s="381">
        <f t="shared" si="10"/>
        <v>84688.47726</v>
      </c>
      <c r="H120" s="381">
        <f t="shared" si="10"/>
        <v>42688.522739999993</v>
      </c>
      <c r="I120" s="381">
        <f t="shared" si="10"/>
        <v>74364.56534999999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4">
      <c r="A131" s="26"/>
      <c r="B131" s="50"/>
      <c r="C131" s="394" t="s">
        <v>1</v>
      </c>
      <c r="D131" s="395"/>
      <c r="E131" s="394" t="s">
        <v>18</v>
      </c>
      <c r="F131" s="395"/>
      <c r="G131" s="394" t="s">
        <v>19</v>
      </c>
      <c r="H131" s="395"/>
      <c r="I131" s="87"/>
      <c r="J131" s="61"/>
    </row>
    <row r="132" spans="1:10" ht="14.15" customHeight="1" x14ac:dyDescent="0.35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5" customHeight="1" x14ac:dyDescent="0.35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5" customHeight="1" x14ac:dyDescent="0.35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5" customHeight="1" thickBot="1" x14ac:dyDescent="0.4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4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42</v>
      </c>
      <c r="G140" s="108" t="str">
        <f>G22</f>
        <v>FANGST T.O.M UKE 42</v>
      </c>
      <c r="H140" s="108" t="str">
        <f>H22</f>
        <v>RESTKVOTER UKE 42</v>
      </c>
      <c r="I140" s="108" t="str">
        <f>I22</f>
        <v>FANGST T.O.M. UKE 42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573.58733000000007</v>
      </c>
      <c r="G141" s="200">
        <f t="shared" si="11"/>
        <v>52173.803780000002</v>
      </c>
      <c r="H141" s="200">
        <f t="shared" si="11"/>
        <v>8020.1962199999971</v>
      </c>
      <c r="I141" s="200">
        <f t="shared" si="11"/>
        <v>46437.920209999997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48101</v>
      </c>
      <c r="F142" s="202">
        <v>197.36932999999999</v>
      </c>
      <c r="G142" s="202">
        <v>45711.517010000003</v>
      </c>
      <c r="H142" s="202">
        <f>E142-G142</f>
        <v>2389.4829899999968</v>
      </c>
      <c r="I142" s="202">
        <v>39678.572489999999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11593</v>
      </c>
      <c r="F143" s="202">
        <v>376.21800000000002</v>
      </c>
      <c r="G143" s="202">
        <v>6462.2867699999997</v>
      </c>
      <c r="H143" s="202">
        <f>E143-G143</f>
        <v>5130.7132300000003</v>
      </c>
      <c r="I143" s="202">
        <v>6759.3477199999998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2">
        <v>44985</v>
      </c>
      <c r="E145" s="205">
        <v>43832</v>
      </c>
      <c r="F145" s="206">
        <v>7.8330000000000002</v>
      </c>
      <c r="G145" s="206">
        <v>35882.51887</v>
      </c>
      <c r="H145" s="206">
        <f>E145-G145</f>
        <v>7949.4811300000001</v>
      </c>
      <c r="I145" s="206">
        <v>25679.315269999999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66018</v>
      </c>
      <c r="F146" s="208">
        <f t="shared" si="12"/>
        <v>705.93789000000004</v>
      </c>
      <c r="G146" s="208">
        <f t="shared" si="12"/>
        <v>53525.309410000002</v>
      </c>
      <c r="H146" s="208">
        <f t="shared" si="12"/>
        <v>12492.690590000002</v>
      </c>
      <c r="I146" s="208">
        <f t="shared" si="12"/>
        <v>54174.335920000005</v>
      </c>
      <c r="J146" s="53"/>
    </row>
    <row r="147" spans="1:10" ht="14.15" customHeight="1" x14ac:dyDescent="0.35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614.37821000000008</v>
      </c>
      <c r="G147" s="210">
        <f>G148+G149+G151+G150</f>
        <v>40207.173490000001</v>
      </c>
      <c r="H147" s="210">
        <f>H148+H149+H150+H151</f>
        <v>9651.8265100000026</v>
      </c>
      <c r="I147" s="210">
        <f>I148+I149+I150+I151</f>
        <v>40801.241930000004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14723</v>
      </c>
      <c r="F148" s="193">
        <v>177.68198000000001</v>
      </c>
      <c r="G148" s="193">
        <v>9137.3551299999999</v>
      </c>
      <c r="H148" s="193">
        <f>E148-G148</f>
        <v>5585.6448700000001</v>
      </c>
      <c r="I148" s="193">
        <v>8601.5714599999992</v>
      </c>
      <c r="J148" s="299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12292</v>
      </c>
      <c r="F149" s="193">
        <v>133.17490000000001</v>
      </c>
      <c r="G149" s="193">
        <v>11257.850189999999</v>
      </c>
      <c r="H149" s="193">
        <f>E149-G149</f>
        <v>1034.1498100000008</v>
      </c>
      <c r="I149" s="193">
        <v>9966.7582899999998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12090</v>
      </c>
      <c r="F150" s="193">
        <v>176.95381</v>
      </c>
      <c r="G150" s="193">
        <v>9214.3642499999987</v>
      </c>
      <c r="H150" s="193">
        <f>E150-G150</f>
        <v>2875.6357500000013</v>
      </c>
      <c r="I150" s="193">
        <v>13159.899230000001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10754</v>
      </c>
      <c r="F151" s="193">
        <v>126.56752</v>
      </c>
      <c r="G151" s="193">
        <v>10597.60392</v>
      </c>
      <c r="H151" s="193">
        <f>E151-G151</f>
        <v>156.39608000000044</v>
      </c>
      <c r="I151" s="193">
        <v>9073.0129500000003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>
        <v>6.1114499999999996</v>
      </c>
      <c r="G152" s="213">
        <v>5846.8127999999997</v>
      </c>
      <c r="H152" s="213">
        <f>H153+H154</f>
        <v>1020.1872000000003</v>
      </c>
      <c r="I152" s="213">
        <v>6233.1852900000004</v>
      </c>
      <c r="J152" s="300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6367</v>
      </c>
      <c r="F153" s="193">
        <v>6.1114499999999996</v>
      </c>
      <c r="G153" s="193">
        <v>5718.4184999999998</v>
      </c>
      <c r="H153" s="193">
        <f>E153-G153</f>
        <v>648.58150000000023</v>
      </c>
      <c r="I153" s="193">
        <v>6085.7555400000001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128.39429999999993</v>
      </c>
      <c r="H154" s="193">
        <f t="shared" ref="H154:H160" si="13">E154-G154</f>
        <v>371.60570000000007</v>
      </c>
      <c r="I154" s="193">
        <f>I152-I153</f>
        <v>147.42975000000024</v>
      </c>
      <c r="J154" s="301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4">
        <v>9292</v>
      </c>
      <c r="F155" s="215">
        <v>85.448229999999995</v>
      </c>
      <c r="G155" s="215">
        <v>7471.32312</v>
      </c>
      <c r="H155" s="215">
        <f t="shared" si="13"/>
        <v>1820.67688</v>
      </c>
      <c r="I155" s="215">
        <v>7139.9087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21.069759999999999</v>
      </c>
      <c r="H156" s="195">
        <f t="shared" si="13"/>
        <v>122.93024</v>
      </c>
      <c r="I156" s="195">
        <v>14.338900000000001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252.60900000000001</v>
      </c>
      <c r="H157" s="217">
        <f t="shared" si="13"/>
        <v>-2.6090000000000089</v>
      </c>
      <c r="I157" s="217">
        <v>249.13579999999999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3.5716299999999999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128.7765</v>
      </c>
      <c r="H159" s="219">
        <f t="shared" si="13"/>
        <v>171.2235</v>
      </c>
      <c r="I159" s="219"/>
      <c r="J159" s="53"/>
    </row>
    <row r="160" spans="1:10" ht="17" thickBot="1" x14ac:dyDescent="0.4">
      <c r="A160" s="51"/>
      <c r="B160" s="52"/>
      <c r="C160" s="128" t="s">
        <v>85</v>
      </c>
      <c r="D160" s="223"/>
      <c r="E160" s="218"/>
      <c r="F160" s="219">
        <v>27.285999999999831</v>
      </c>
      <c r="G160" s="219">
        <v>1171.2406199999677</v>
      </c>
      <c r="H160" s="219">
        <f t="shared" si="13"/>
        <v>-1171.2406199999677</v>
      </c>
      <c r="I160" s="219">
        <v>1285.0412599999981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172738</v>
      </c>
      <c r="F162" s="188">
        <f>F141+F145+F146+F156+F157+F158+F159+F160</f>
        <v>1318.2158499999998</v>
      </c>
      <c r="G162" s="188">
        <f>G141+G145+G146+G156+G157+G158+G159+G160</f>
        <v>145155.32793999999</v>
      </c>
      <c r="H162" s="188">
        <f t="shared" si="14"/>
        <v>27582.672060000034</v>
      </c>
      <c r="I162" s="188">
        <f t="shared" si="14"/>
        <v>129840.08736000002</v>
      </c>
      <c r="J162" s="302"/>
    </row>
    <row r="163" spans="1:10" ht="14.25" customHeight="1" x14ac:dyDescent="0.35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35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140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9" t="s">
        <v>141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5" customHeight="1" thickBot="1" x14ac:dyDescent="0.4">
      <c r="A177" s="51"/>
      <c r="B177" s="52"/>
      <c r="C177" s="404" t="s">
        <v>1</v>
      </c>
      <c r="D177" s="405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42</v>
      </c>
      <c r="F186" s="108" t="str">
        <f>G22</f>
        <v>FANGST T.O.M UKE 42</v>
      </c>
      <c r="G186" s="168" t="str">
        <f>H22</f>
        <v>RESTKVOTER UKE 42</v>
      </c>
      <c r="H186" s="108" t="str">
        <f>I22</f>
        <v>FANGST T.O.M. UKE 42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6">
        <v>5394</v>
      </c>
      <c r="E187" s="189">
        <v>96.845309999999998</v>
      </c>
      <c r="F187" s="189">
        <v>1751.44103</v>
      </c>
      <c r="G187" s="396">
        <f>D187-F187-F188</f>
        <v>1704.67075</v>
      </c>
      <c r="H187" s="189">
        <v>1549.61535</v>
      </c>
      <c r="I187" s="91"/>
      <c r="J187" s="306"/>
    </row>
    <row r="188" spans="1:10" ht="14.15" customHeight="1" x14ac:dyDescent="0.35">
      <c r="A188" s="51"/>
      <c r="B188" s="77"/>
      <c r="C188" s="78" t="s">
        <v>27</v>
      </c>
      <c r="D188" s="414"/>
      <c r="E188" s="190">
        <v>2.9887000000000001</v>
      </c>
      <c r="F188" s="190">
        <v>1937.88822</v>
      </c>
      <c r="G188" s="397"/>
      <c r="H188" s="190">
        <v>1803.97596</v>
      </c>
      <c r="I188" s="91"/>
      <c r="J188" s="306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0.2387</v>
      </c>
      <c r="F189" s="191">
        <v>88.677620000000005</v>
      </c>
      <c r="G189" s="191">
        <f>D189-F189</f>
        <v>111.32238</v>
      </c>
      <c r="H189" s="191">
        <v>101.50754000000001</v>
      </c>
      <c r="I189" s="91"/>
      <c r="J189" s="306"/>
    </row>
    <row r="190" spans="1:10" ht="14.15" customHeight="1" x14ac:dyDescent="0.35">
      <c r="A190" s="38"/>
      <c r="B190" s="92"/>
      <c r="C190" s="80" t="s">
        <v>55</v>
      </c>
      <c r="D190" s="277">
        <v>8090</v>
      </c>
      <c r="E190" s="192">
        <f>E191+E192+E193</f>
        <v>27.295090000000002</v>
      </c>
      <c r="F190" s="192">
        <f>F191+F192+F193</f>
        <v>8094.4221200000011</v>
      </c>
      <c r="G190" s="192">
        <f>D190-F190</f>
        <v>-4.4221200000010867</v>
      </c>
      <c r="H190" s="192">
        <f>H191+H192+H193</f>
        <v>7832.7095900000004</v>
      </c>
      <c r="I190" s="93"/>
      <c r="J190" s="307"/>
    </row>
    <row r="191" spans="1:10" ht="14.15" customHeight="1" x14ac:dyDescent="0.35">
      <c r="A191" s="69"/>
      <c r="B191" s="81"/>
      <c r="C191" s="82" t="s">
        <v>31</v>
      </c>
      <c r="D191" s="176"/>
      <c r="E191" s="193">
        <v>0.31509999999999999</v>
      </c>
      <c r="F191" s="193">
        <v>4075.15328</v>
      </c>
      <c r="G191" s="193"/>
      <c r="H191" s="193">
        <v>3798.4254999999998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12.10059</v>
      </c>
      <c r="F192" s="193">
        <v>2503.9693900000002</v>
      </c>
      <c r="G192" s="193"/>
      <c r="H192" s="193">
        <v>2502.52099</v>
      </c>
      <c r="I192" s="106"/>
      <c r="J192" s="308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14.8794</v>
      </c>
      <c r="F193" s="194">
        <v>1515.29945</v>
      </c>
      <c r="G193" s="194"/>
      <c r="H193" s="194">
        <v>1531.7630999999999</v>
      </c>
      <c r="I193" s="106"/>
      <c r="J193" s="308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9.1520000000000004E-2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2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127.36779999999999</v>
      </c>
      <c r="F196" s="180">
        <f>F187+F188+F189+F190+F194+F195</f>
        <v>11873.05819</v>
      </c>
      <c r="G196" s="180">
        <f>D196-F196</f>
        <v>1881.9418100000003</v>
      </c>
      <c r="H196" s="180">
        <f>H187+H188+H189+H190+H194+H195</f>
        <v>11287.90746</v>
      </c>
      <c r="I196" s="103"/>
      <c r="J196" s="302"/>
    </row>
    <row r="197" spans="1:10" ht="15.75" customHeight="1" x14ac:dyDescent="0.35">
      <c r="A197" s="51"/>
      <c r="B197" s="304"/>
      <c r="C197" s="413" t="s">
        <v>97</v>
      </c>
      <c r="D197" s="413"/>
      <c r="E197" s="413"/>
      <c r="F197" s="413"/>
      <c r="G197" s="413"/>
      <c r="H197" s="119"/>
      <c r="I197" s="119"/>
      <c r="J197" s="305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404" t="s">
        <v>1</v>
      </c>
      <c r="D204" s="405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20" t="s">
        <v>18</v>
      </c>
      <c r="E215" s="42" t="str">
        <f>F22</f>
        <v>FANGST UKE 42</v>
      </c>
      <c r="F215" s="42" t="str">
        <f>G22</f>
        <v>FANGST T.O.M UKE 42</v>
      </c>
      <c r="G215" s="42" t="str">
        <f>H22</f>
        <v>RESTKVOTER UKE 42</v>
      </c>
      <c r="H215" s="42" t="str">
        <f>I22</f>
        <v>FANGST T.O.M. UKE 42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6">
        <v>43379</v>
      </c>
      <c r="E216" s="266">
        <v>24.205079999999999</v>
      </c>
      <c r="F216" s="266">
        <v>42574.04365</v>
      </c>
      <c r="G216" s="266">
        <f>D216-F216</f>
        <v>804.95635000000038</v>
      </c>
      <c r="H216" s="266">
        <v>30358.799040000002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6">
        <v>100</v>
      </c>
      <c r="E217" s="266">
        <v>3.1600000000000003E-2</v>
      </c>
      <c r="F217" s="266">
        <v>30.05808</v>
      </c>
      <c r="G217" s="266">
        <f>D217-F217</f>
        <v>69.941919999999996</v>
      </c>
      <c r="H217" s="266">
        <v>13.894410000000001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8">
        <f>SUM(D216:D218)</f>
        <v>43534</v>
      </c>
      <c r="E219" s="268">
        <f>SUM(E216:E218)</f>
        <v>24.23668</v>
      </c>
      <c r="F219" s="268">
        <f>SUM(F216:F218)</f>
        <v>42604.101730000002</v>
      </c>
      <c r="G219" s="268">
        <f>D219-F219</f>
        <v>929.89826999999786</v>
      </c>
      <c r="H219" s="268">
        <f>SUM(H216:H218)</f>
        <v>30372.693450000002</v>
      </c>
      <c r="I219" s="21"/>
      <c r="J219" s="53"/>
    </row>
    <row r="220" spans="1:10" ht="17.149999999999999" customHeight="1" thickBot="1" x14ac:dyDescent="0.4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4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5" customHeight="1" thickTop="1" thickBot="1" x14ac:dyDescent="0.4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5" customHeight="1" thickBot="1" x14ac:dyDescent="0.4">
      <c r="A258" s="2"/>
      <c r="B258" s="74"/>
      <c r="C258" s="404" t="s">
        <v>1</v>
      </c>
      <c r="D258" s="405"/>
      <c r="E258" s="113"/>
      <c r="F258" s="113"/>
      <c r="G258" s="75"/>
      <c r="H258" s="75"/>
      <c r="I258" s="75"/>
      <c r="J258" s="306"/>
    </row>
    <row r="259" spans="1:10" ht="14.15" customHeight="1" x14ac:dyDescent="0.35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5" customHeight="1" x14ac:dyDescent="0.35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4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4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5" customHeight="1" x14ac:dyDescent="0.35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35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35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5" customHeight="1" thickBot="1" x14ac:dyDescent="0.4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4">
      <c r="A268" s="51"/>
      <c r="B268" s="315"/>
      <c r="C268" s="42" t="s">
        <v>17</v>
      </c>
      <c r="D268" s="46" t="s">
        <v>18</v>
      </c>
      <c r="E268" s="42" t="str">
        <f>F22</f>
        <v>FANGST UKE 42</v>
      </c>
      <c r="F268" s="42" t="str">
        <f>G22</f>
        <v>FANGST T.O.M UKE 42</v>
      </c>
      <c r="G268" s="42" t="str">
        <f>H22</f>
        <v>RESTKVOTER UKE 42</v>
      </c>
      <c r="H268" s="42" t="str">
        <f>I22</f>
        <v>FANGST T.O.M. UKE 42 2020</v>
      </c>
      <c r="I268" s="28"/>
      <c r="J268" s="307"/>
    </row>
    <row r="269" spans="1:10" ht="14.15" customHeight="1" thickBot="1" x14ac:dyDescent="0.4">
      <c r="A269" s="38"/>
      <c r="B269" s="92"/>
      <c r="C269" s="44" t="s">
        <v>49</v>
      </c>
      <c r="D269" s="409">
        <v>1701</v>
      </c>
      <c r="E269" s="164">
        <v>3.7335400000000001</v>
      </c>
      <c r="F269" s="164">
        <v>473.89123999999998</v>
      </c>
      <c r="G269" s="396">
        <f>D269-F269-F270</f>
        <v>242.14364000000012</v>
      </c>
      <c r="H269" s="164">
        <v>562.27691000000004</v>
      </c>
      <c r="I269" s="93"/>
      <c r="J269" s="321"/>
    </row>
    <row r="270" spans="1:10" ht="14.15" customHeight="1" thickBot="1" x14ac:dyDescent="0.4">
      <c r="A270" s="51"/>
      <c r="B270" s="315"/>
      <c r="C270" s="47" t="s">
        <v>43</v>
      </c>
      <c r="D270" s="410"/>
      <c r="E270" s="164">
        <v>8.50535</v>
      </c>
      <c r="F270" s="164">
        <v>984.96511999999996</v>
      </c>
      <c r="G270" s="411"/>
      <c r="H270" s="164">
        <v>1527.8020300000001</v>
      </c>
      <c r="I270" s="41"/>
      <c r="J270" s="307"/>
    </row>
    <row r="271" spans="1:10" ht="16" thickBot="1" x14ac:dyDescent="0.4">
      <c r="A271" s="38"/>
      <c r="B271" s="92"/>
      <c r="C271" s="43" t="s">
        <v>34</v>
      </c>
      <c r="D271" s="253">
        <v>5</v>
      </c>
      <c r="E271" s="165"/>
      <c r="F271" s="165">
        <v>1.389</v>
      </c>
      <c r="G271" s="164">
        <f>D271-F271</f>
        <v>3.6109999999999998</v>
      </c>
      <c r="H271" s="165">
        <v>3.32992</v>
      </c>
      <c r="I271" s="93"/>
      <c r="J271" s="322"/>
    </row>
    <row r="272" spans="1:10" ht="18.75" customHeight="1" thickBot="1" x14ac:dyDescent="0.4">
      <c r="A272" s="38"/>
      <c r="B272" s="323"/>
      <c r="C272" s="43" t="s">
        <v>53</v>
      </c>
      <c r="D272" s="264"/>
      <c r="E272" s="165">
        <v>1.0030000000000001E-2</v>
      </c>
      <c r="F272" s="165">
        <v>2.8519100000000002</v>
      </c>
      <c r="G272" s="164"/>
      <c r="H272" s="165">
        <v>2.1034299999999999</v>
      </c>
      <c r="I272" s="34"/>
      <c r="J272" s="317"/>
    </row>
    <row r="273" spans="1:10" ht="14.15" customHeight="1" thickBot="1" x14ac:dyDescent="0.4">
      <c r="A273" s="51"/>
      <c r="B273" s="315"/>
      <c r="C273" s="45" t="s">
        <v>50</v>
      </c>
      <c r="D273" s="265">
        <f>D259</f>
        <v>1706</v>
      </c>
      <c r="E273" s="166">
        <f>SUM(E269:E272)</f>
        <v>12.24892</v>
      </c>
      <c r="F273" s="166">
        <f>SUM(F269:F272)</f>
        <v>1463.09727</v>
      </c>
      <c r="G273" s="166">
        <f>D273-F273</f>
        <v>242.90273000000002</v>
      </c>
      <c r="H273" s="166">
        <f>H269+H270+H271+H272</f>
        <v>2095.5122900000006</v>
      </c>
      <c r="I273" s="28"/>
      <c r="J273" s="317"/>
    </row>
    <row r="274" spans="1:10" ht="14.15" customHeight="1" x14ac:dyDescent="0.35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4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4">
      <c r="B286" s="359"/>
      <c r="C286" s="404" t="s">
        <v>1</v>
      </c>
      <c r="D286" s="405"/>
      <c r="E286" s="404" t="s">
        <v>51</v>
      </c>
      <c r="F286" s="405"/>
      <c r="G286" s="404" t="s">
        <v>52</v>
      </c>
      <c r="H286" s="405"/>
      <c r="I286" s="113"/>
      <c r="J286" s="360"/>
    </row>
    <row r="287" spans="1:10" ht="14.25" customHeight="1" x14ac:dyDescent="0.35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35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35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5" customHeight="1" thickBot="1" x14ac:dyDescent="0.4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5" customHeight="1" thickBot="1" x14ac:dyDescent="0.4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35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35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35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4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35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4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4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42</v>
      </c>
      <c r="G298" s="326" t="str">
        <f>G22</f>
        <v>FANGST T.O.M UKE 42</v>
      </c>
      <c r="H298" s="326" t="str">
        <f>H22</f>
        <v>RESTKVOTER UKE 42</v>
      </c>
      <c r="I298" s="326" t="str">
        <f>I22</f>
        <v>FANGST T.O.M. UKE 42 2020</v>
      </c>
      <c r="J298" s="360"/>
    </row>
    <row r="299" spans="1:10" ht="14.15" customHeight="1" x14ac:dyDescent="0.35">
      <c r="A299" s="27"/>
      <c r="B299" s="359"/>
      <c r="C299" s="328" t="s">
        <v>14</v>
      </c>
      <c r="D299" s="329">
        <f t="shared" ref="D299:I299" si="15">D303+D302+D301+D300</f>
        <v>16706</v>
      </c>
      <c r="E299" s="329">
        <f t="shared" si="15"/>
        <v>20688</v>
      </c>
      <c r="F299" s="375">
        <f t="shared" si="15"/>
        <v>545.51880000000006</v>
      </c>
      <c r="G299" s="375">
        <f t="shared" si="15"/>
        <v>13215.92093</v>
      </c>
      <c r="H299" s="375">
        <f t="shared" si="15"/>
        <v>7472.0790699999998</v>
      </c>
      <c r="I299" s="375">
        <f t="shared" si="15"/>
        <v>27577.6666</v>
      </c>
      <c r="J299" s="360"/>
    </row>
    <row r="300" spans="1:10" ht="14.15" customHeight="1" x14ac:dyDescent="0.35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7810.6571100000001</v>
      </c>
      <c r="H300" s="333">
        <f t="shared" ref="H300:H305" si="16">E300-G300</f>
        <v>3714.3428899999999</v>
      </c>
      <c r="I300" s="333">
        <v>19426.38782</v>
      </c>
      <c r="J300" s="360"/>
    </row>
    <row r="301" spans="1:10" ht="14.15" customHeight="1" x14ac:dyDescent="0.35">
      <c r="A301" s="27"/>
      <c r="B301" s="359"/>
      <c r="C301" s="334" t="s">
        <v>9</v>
      </c>
      <c r="D301" s="332">
        <v>2224</v>
      </c>
      <c r="E301" s="332">
        <v>3000</v>
      </c>
      <c r="F301" s="333">
        <v>500.25060000000002</v>
      </c>
      <c r="G301" s="333">
        <v>1567.0328</v>
      </c>
      <c r="H301" s="333">
        <f t="shared" si="16"/>
        <v>1432.9672</v>
      </c>
      <c r="I301" s="333">
        <v>2256.34575</v>
      </c>
      <c r="J301" s="360"/>
    </row>
    <row r="302" spans="1:10" ht="14.15" customHeight="1" x14ac:dyDescent="0.35">
      <c r="A302" s="27"/>
      <c r="B302" s="359"/>
      <c r="C302" s="334" t="s">
        <v>45</v>
      </c>
      <c r="D302" s="332">
        <v>1366</v>
      </c>
      <c r="E302" s="332">
        <v>1441</v>
      </c>
      <c r="F302" s="333">
        <v>37.456200000000003</v>
      </c>
      <c r="G302" s="333">
        <v>1474.53217</v>
      </c>
      <c r="H302" s="333">
        <f t="shared" si="16"/>
        <v>-33.532169999999951</v>
      </c>
      <c r="I302" s="333">
        <v>2411.3498300000001</v>
      </c>
      <c r="J302" s="360"/>
    </row>
    <row r="303" spans="1:10" ht="14.15" customHeight="1" thickBot="1" x14ac:dyDescent="0.4">
      <c r="A303" s="27"/>
      <c r="B303" s="359"/>
      <c r="C303" s="335" t="s">
        <v>131</v>
      </c>
      <c r="D303" s="336">
        <v>4571</v>
      </c>
      <c r="E303" s="336">
        <v>4722</v>
      </c>
      <c r="F303" s="333">
        <v>7.8120000000000003</v>
      </c>
      <c r="G303" s="333">
        <v>2363.6988500000002</v>
      </c>
      <c r="H303" s="333">
        <f t="shared" si="16"/>
        <v>2358.3011499999998</v>
      </c>
      <c r="I303" s="333">
        <v>3483.5832</v>
      </c>
      <c r="J303" s="360"/>
    </row>
    <row r="304" spans="1:10" ht="14.15" customHeight="1" thickBot="1" x14ac:dyDescent="0.4">
      <c r="A304" s="27"/>
      <c r="B304" s="359"/>
      <c r="C304" s="337" t="s">
        <v>36</v>
      </c>
      <c r="D304" s="338">
        <v>5500</v>
      </c>
      <c r="E304" s="338">
        <v>5500</v>
      </c>
      <c r="F304" s="339">
        <v>0.316</v>
      </c>
      <c r="G304" s="339">
        <v>2203.5186100000001</v>
      </c>
      <c r="H304" s="339">
        <f t="shared" si="16"/>
        <v>3296.4813899999999</v>
      </c>
      <c r="I304" s="339">
        <v>3889.6852800000001</v>
      </c>
      <c r="J304" s="360"/>
    </row>
    <row r="305" spans="1:10" ht="14.15" customHeight="1" x14ac:dyDescent="0.35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35.487650000000002</v>
      </c>
      <c r="G305" s="330">
        <f>G307+G306</f>
        <v>3004.3320200000003</v>
      </c>
      <c r="H305" s="330">
        <f t="shared" si="16"/>
        <v>4995.6679800000002</v>
      </c>
      <c r="I305" s="330">
        <f>I307+I306</f>
        <v>4707.5869000000002</v>
      </c>
      <c r="J305" s="360"/>
    </row>
    <row r="306" spans="1:10" ht="14.15" customHeight="1" x14ac:dyDescent="0.35">
      <c r="A306" s="27"/>
      <c r="B306" s="359"/>
      <c r="C306" s="334" t="s">
        <v>27</v>
      </c>
      <c r="D306" s="340"/>
      <c r="E306" s="332"/>
      <c r="F306" s="333"/>
      <c r="G306" s="333">
        <v>13.22733</v>
      </c>
      <c r="H306" s="333"/>
      <c r="I306" s="333">
        <v>652.54060000000004</v>
      </c>
      <c r="J306" s="360"/>
    </row>
    <row r="307" spans="1:10" ht="14.15" customHeight="1" thickBot="1" x14ac:dyDescent="0.4">
      <c r="A307" s="27"/>
      <c r="B307" s="359"/>
      <c r="C307" s="341" t="s">
        <v>46</v>
      </c>
      <c r="D307" s="342"/>
      <c r="E307" s="343"/>
      <c r="F307" s="344">
        <v>35.487650000000002</v>
      </c>
      <c r="G307" s="344">
        <v>2991.1046900000001</v>
      </c>
      <c r="H307" s="344"/>
      <c r="I307" s="344">
        <v>4055.0463</v>
      </c>
      <c r="J307" s="360"/>
    </row>
    <row r="308" spans="1:10" ht="14.15" customHeight="1" thickBot="1" x14ac:dyDescent="0.4">
      <c r="A308" s="27"/>
      <c r="B308" s="359"/>
      <c r="C308" s="337" t="s">
        <v>11</v>
      </c>
      <c r="D308" s="338">
        <v>10</v>
      </c>
      <c r="E308" s="338">
        <v>10</v>
      </c>
      <c r="F308" s="339"/>
      <c r="G308" s="339">
        <v>0.39150000000000001</v>
      </c>
      <c r="H308" s="339">
        <f>E308-G308</f>
        <v>9.6084999999999994</v>
      </c>
      <c r="I308" s="339">
        <v>0.69179999999999997</v>
      </c>
      <c r="J308" s="360"/>
    </row>
    <row r="309" spans="1:10" ht="14.15" customHeight="1" thickBot="1" x14ac:dyDescent="0.4">
      <c r="A309" s="27"/>
      <c r="B309" s="359"/>
      <c r="C309" s="345" t="s">
        <v>47</v>
      </c>
      <c r="D309" s="346"/>
      <c r="E309" s="347"/>
      <c r="F309" s="339">
        <v>4.0800000000000003E-2</v>
      </c>
      <c r="G309" s="339">
        <v>42.635629999999999</v>
      </c>
      <c r="H309" s="339">
        <f>E309-G309</f>
        <v>-42.635629999999999</v>
      </c>
      <c r="I309" s="339">
        <v>62.750709999999998</v>
      </c>
      <c r="J309" s="360"/>
    </row>
    <row r="310" spans="1:10" ht="19" thickBot="1" x14ac:dyDescent="0.4">
      <c r="A310" s="27"/>
      <c r="B310" s="359"/>
      <c r="C310" s="348" t="s">
        <v>7</v>
      </c>
      <c r="D310" s="349">
        <f t="shared" ref="D310:I310" si="17">D299+D304+D305+D308+D309</f>
        <v>30216</v>
      </c>
      <c r="E310" s="349">
        <f t="shared" si="17"/>
        <v>34198</v>
      </c>
      <c r="F310" s="350">
        <f t="shared" si="17"/>
        <v>581.36325000000011</v>
      </c>
      <c r="G310" s="350">
        <f t="shared" si="17"/>
        <v>18466.798690000003</v>
      </c>
      <c r="H310" s="350">
        <f t="shared" si="17"/>
        <v>15731.20131</v>
      </c>
      <c r="I310" s="350">
        <f t="shared" si="17"/>
        <v>36238.381290000005</v>
      </c>
      <c r="J310" s="360"/>
    </row>
    <row r="311" spans="1:10" ht="14.15" customHeight="1" x14ac:dyDescent="0.35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5" customHeight="1" x14ac:dyDescent="0.35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5" customHeight="1" x14ac:dyDescent="0.35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4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35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5" customHeight="1" x14ac:dyDescent="0.35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5" customHeight="1" thickBot="1" x14ac:dyDescent="0.4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5" customHeight="1" thickBot="1" x14ac:dyDescent="0.4">
      <c r="A321" s="27"/>
      <c r="B321" s="359"/>
      <c r="C321" s="404" t="s">
        <v>1</v>
      </c>
      <c r="D321" s="405"/>
      <c r="E321" s="113"/>
      <c r="F321" s="113"/>
      <c r="G321" s="113"/>
      <c r="H321" s="113"/>
      <c r="I321" s="113"/>
      <c r="J321" s="360"/>
    </row>
    <row r="322" spans="1:10" ht="14.15" customHeight="1" x14ac:dyDescent="0.35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5" customHeight="1" x14ac:dyDescent="0.35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5" customHeight="1" thickBot="1" x14ac:dyDescent="0.4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5" customHeight="1" thickBot="1" x14ac:dyDescent="0.4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5" customHeight="1" x14ac:dyDescent="0.35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5" customHeight="1" x14ac:dyDescent="0.35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5" customHeight="1" x14ac:dyDescent="0.35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5" customHeight="1" thickBot="1" x14ac:dyDescent="0.4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4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4">
      <c r="A331" s="303"/>
      <c r="B331" s="362"/>
      <c r="C331" s="327" t="s">
        <v>73</v>
      </c>
      <c r="D331" s="366" t="s">
        <v>74</v>
      </c>
      <c r="E331" s="327" t="str">
        <f>F22</f>
        <v>FANGST UKE 42</v>
      </c>
      <c r="F331" s="327" t="str">
        <f>G22</f>
        <v>FANGST T.O.M UKE 42</v>
      </c>
      <c r="G331" s="367" t="str">
        <f>H22</f>
        <v>RESTKVOTER UKE 42</v>
      </c>
      <c r="H331" s="327" t="str">
        <f>I22</f>
        <v>FANGST T.O.M. UKE 42 2020</v>
      </c>
      <c r="I331" s="310"/>
      <c r="J331" s="363"/>
    </row>
    <row r="332" spans="1:10" ht="14.15" customHeight="1" thickBot="1" x14ac:dyDescent="0.4">
      <c r="A332" s="303"/>
      <c r="B332" s="359"/>
      <c r="C332" s="337" t="s">
        <v>75</v>
      </c>
      <c r="D332" s="415">
        <v>1685</v>
      </c>
      <c r="E332" s="382">
        <f>E334+E333</f>
        <v>0</v>
      </c>
      <c r="F332" s="382">
        <f>F334+F333</f>
        <v>1827.08673</v>
      </c>
      <c r="G332" s="418">
        <f>D332-F332</f>
        <v>-142.08672999999999</v>
      </c>
      <c r="H332" s="382">
        <f>SUM(H333:H334)</f>
        <v>1911.6289300000001</v>
      </c>
      <c r="I332" s="113"/>
      <c r="J332" s="360"/>
    </row>
    <row r="333" spans="1:10" ht="14.15" customHeight="1" thickBot="1" x14ac:dyDescent="0.4">
      <c r="A333" s="27"/>
      <c r="B333" s="359"/>
      <c r="C333" s="368" t="s">
        <v>65</v>
      </c>
      <c r="D333" s="416"/>
      <c r="E333" s="383"/>
      <c r="F333" s="383">
        <v>1518.92318</v>
      </c>
      <c r="G333" s="419"/>
      <c r="H333" s="383">
        <v>1553.3166900000001</v>
      </c>
      <c r="I333" s="113"/>
      <c r="J333" s="360"/>
    </row>
    <row r="334" spans="1:10" ht="14.15" customHeight="1" thickBot="1" x14ac:dyDescent="0.4">
      <c r="A334" s="27"/>
      <c r="B334" s="359"/>
      <c r="C334" s="368" t="s">
        <v>66</v>
      </c>
      <c r="D334" s="417"/>
      <c r="E334" s="384"/>
      <c r="F334" s="384">
        <v>308.16354999999999</v>
      </c>
      <c r="G334" s="420"/>
      <c r="H334" s="384">
        <v>358.31223999999997</v>
      </c>
      <c r="I334" s="113"/>
      <c r="J334" s="360"/>
    </row>
    <row r="335" spans="1:10" ht="14.15" customHeight="1" thickBot="1" x14ac:dyDescent="0.4">
      <c r="A335" s="27"/>
      <c r="B335" s="359"/>
      <c r="C335" s="337" t="s">
        <v>76</v>
      </c>
      <c r="D335" s="415">
        <v>1240</v>
      </c>
      <c r="E335" s="382">
        <f>SUM(E336:E337)</f>
        <v>0</v>
      </c>
      <c r="F335" s="382">
        <f>SUM(F336:F337)</f>
        <v>1302.8382999999999</v>
      </c>
      <c r="G335" s="418">
        <f>D335-F335</f>
        <v>-62.83829999999989</v>
      </c>
      <c r="H335" s="382">
        <f>SUM(H336:H337)</f>
        <v>1664.31565</v>
      </c>
      <c r="I335" s="113"/>
      <c r="J335" s="360"/>
    </row>
    <row r="336" spans="1:10" ht="14.15" customHeight="1" thickBot="1" x14ac:dyDescent="0.4">
      <c r="A336" s="27"/>
      <c r="B336" s="359"/>
      <c r="C336" s="368" t="s">
        <v>65</v>
      </c>
      <c r="D336" s="416"/>
      <c r="E336" s="369"/>
      <c r="F336" s="369">
        <v>1056.9746</v>
      </c>
      <c r="G336" s="419"/>
      <c r="H336" s="369">
        <v>1347.2683999999999</v>
      </c>
      <c r="I336" s="113"/>
      <c r="J336" s="360"/>
    </row>
    <row r="337" spans="1:10" ht="14.15" customHeight="1" thickBot="1" x14ac:dyDescent="0.4">
      <c r="A337" s="27"/>
      <c r="B337" s="359"/>
      <c r="C337" s="368" t="s">
        <v>66</v>
      </c>
      <c r="D337" s="417"/>
      <c r="E337" s="369"/>
      <c r="F337" s="369">
        <v>245.86369999999999</v>
      </c>
      <c r="G337" s="420"/>
      <c r="H337" s="369">
        <v>317.04725000000002</v>
      </c>
      <c r="I337" s="113"/>
      <c r="J337" s="360"/>
    </row>
    <row r="338" spans="1:10" ht="14.15" customHeight="1" thickBot="1" x14ac:dyDescent="0.4">
      <c r="A338" s="27"/>
      <c r="B338" s="359"/>
      <c r="C338" s="337" t="s">
        <v>77</v>
      </c>
      <c r="D338" s="415">
        <v>1240</v>
      </c>
      <c r="E338" s="389">
        <f>SUM(E339:E340)</f>
        <v>51.968500000000006</v>
      </c>
      <c r="F338" s="389">
        <f>SUM(F339:F340)</f>
        <v>498.68709999999999</v>
      </c>
      <c r="G338" s="418">
        <f>D338-F338</f>
        <v>741.31290000000001</v>
      </c>
      <c r="H338" s="389">
        <f>SUM(H339:H340)</f>
        <v>699.95143999999993</v>
      </c>
      <c r="I338" s="113"/>
      <c r="J338" s="360"/>
    </row>
    <row r="339" spans="1:10" ht="14.15" customHeight="1" thickBot="1" x14ac:dyDescent="0.4">
      <c r="A339" s="27"/>
      <c r="B339" s="359"/>
      <c r="C339" s="368" t="s">
        <v>65</v>
      </c>
      <c r="D339" s="416"/>
      <c r="E339" s="369">
        <v>44.575000000000003</v>
      </c>
      <c r="F339" s="369">
        <v>428.35212000000001</v>
      </c>
      <c r="G339" s="419"/>
      <c r="H339" s="369">
        <v>552.38055999999995</v>
      </c>
      <c r="I339" s="113"/>
      <c r="J339" s="360"/>
    </row>
    <row r="340" spans="1:10" ht="14.15" customHeight="1" thickBot="1" x14ac:dyDescent="0.4">
      <c r="A340" s="27"/>
      <c r="B340" s="359"/>
      <c r="C340" s="368" t="s">
        <v>66</v>
      </c>
      <c r="D340" s="417"/>
      <c r="E340" s="385">
        <v>7.3935000000000004</v>
      </c>
      <c r="F340" s="385">
        <v>70.334980000000002</v>
      </c>
      <c r="G340" s="420"/>
      <c r="H340" s="385">
        <v>147.57087999999999</v>
      </c>
      <c r="I340" s="113"/>
      <c r="J340" s="360"/>
    </row>
    <row r="341" spans="1:10" ht="14.15" customHeight="1" thickBot="1" x14ac:dyDescent="0.4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5" customHeight="1" thickBot="1" x14ac:dyDescent="0.4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51.968500000000006</v>
      </c>
      <c r="F342" s="387">
        <f>F332+F335+F338+F341</f>
        <v>3628.61213</v>
      </c>
      <c r="G342" s="377">
        <f>SUM(G332:G341)</f>
        <v>536.38787000000013</v>
      </c>
      <c r="H342" s="387">
        <f>H332+H335+H338+H341</f>
        <v>4275.8960200000001</v>
      </c>
      <c r="I342" s="113"/>
      <c r="J342" s="360"/>
    </row>
    <row r="343" spans="1:10" ht="14.15" customHeight="1" x14ac:dyDescent="0.35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5" customHeight="1" thickBot="1" x14ac:dyDescent="0.4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42
&amp;"-,Normal"&amp;11(iht. motatte landings- og sluttsedler fra fiskesalgslagene; alle tallstørrelser i hele tonn)&amp;R24.10.2021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UKE_42_2021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Alejandro Maldonado</cp:lastModifiedBy>
  <cp:lastPrinted>2021-09-13T12:24:16Z</cp:lastPrinted>
  <dcterms:created xsi:type="dcterms:W3CDTF">2011-07-06T12:13:20Z</dcterms:created>
  <dcterms:modified xsi:type="dcterms:W3CDTF">2021-10-25T13:07:50Z</dcterms:modified>
</cp:coreProperties>
</file>